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Andre\OneDrive\Andre\Community Solar\Community Energy London\2019-08 Post Fit Solar Rooftop\"/>
    </mc:Choice>
  </mc:AlternateContent>
  <xr:revisionPtr revIDLastSave="10" documentId="8_{9B75C24B-968D-4638-97D0-6110D268CD27}" xr6:coauthVersionLast="43" xr6:coauthVersionMax="43" xr10:uidLastSave="{9B322009-EA55-4DEE-98EC-2F1DBD8EF63F}"/>
  <bookViews>
    <workbookView xWindow="-98" yWindow="-98" windowWidth="24496" windowHeight="15796" activeTab="2" xr2:uid="{00000000-000D-0000-FFFF-FFFF00000000}"/>
  </bookViews>
  <sheets>
    <sheet name="Financial Model" sheetId="1" r:id="rId1"/>
    <sheet name="Financial Model (cap repay)" sheetId="6" r:id="rId2"/>
    <sheet name="Financial Model (debt mix)" sheetId="8" r:id="rId3"/>
  </sheets>
  <externalReferences>
    <externalReference r:id="rId4"/>
  </externalReferences>
  <definedNames>
    <definedName name="running" localSheetId="0">[1]BES2!$E$103</definedName>
    <definedName name="running" localSheetId="1">[1]BES2!$E$103</definedName>
    <definedName name="running" localSheetId="2">[1]BES2!$E$103</definedName>
    <definedName name="running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6" l="1"/>
  <c r="E26" i="6"/>
  <c r="B15" i="6"/>
  <c r="E27" i="6"/>
  <c r="E25" i="6"/>
  <c r="E30" i="6"/>
  <c r="B18" i="6"/>
  <c r="B20" i="6"/>
  <c r="E36" i="6"/>
  <c r="E43" i="6"/>
  <c r="E45" i="6"/>
  <c r="E61" i="6"/>
  <c r="B18" i="8"/>
  <c r="B20" i="8"/>
  <c r="C34" i="8"/>
  <c r="E4" i="8"/>
  <c r="E25" i="8"/>
  <c r="E6" i="8"/>
  <c r="E24" i="8"/>
  <c r="B15" i="8"/>
  <c r="E26" i="8"/>
  <c r="E30" i="8"/>
  <c r="E41" i="8"/>
  <c r="E34" i="8"/>
  <c r="E36" i="8"/>
  <c r="E46" i="8"/>
  <c r="E48" i="8"/>
  <c r="E50" i="8"/>
  <c r="E52" i="8"/>
  <c r="F39" i="8"/>
  <c r="F41" i="8"/>
  <c r="F42" i="8"/>
  <c r="F43" i="8"/>
  <c r="F44" i="8"/>
  <c r="F45" i="8"/>
  <c r="F34" i="8"/>
  <c r="E35" i="8"/>
  <c r="F36" i="8"/>
  <c r="F46" i="8"/>
  <c r="F48" i="8"/>
  <c r="G39" i="8"/>
  <c r="G41" i="8"/>
  <c r="G42" i="8"/>
  <c r="G43" i="8"/>
  <c r="G44" i="8"/>
  <c r="G45" i="8"/>
  <c r="G34" i="8"/>
  <c r="F35" i="8"/>
  <c r="G36" i="8"/>
  <c r="G46" i="8"/>
  <c r="G48" i="8"/>
  <c r="H39" i="8"/>
  <c r="H41" i="8"/>
  <c r="H42" i="8"/>
  <c r="H43" i="8"/>
  <c r="H44" i="8"/>
  <c r="H45" i="8"/>
  <c r="H34" i="8"/>
  <c r="G35" i="8"/>
  <c r="H36" i="8"/>
  <c r="H46" i="8"/>
  <c r="H48" i="8"/>
  <c r="I39" i="8"/>
  <c r="I41" i="8"/>
  <c r="I42" i="8"/>
  <c r="I43" i="8"/>
  <c r="I44" i="8"/>
  <c r="I45" i="8"/>
  <c r="I34" i="8"/>
  <c r="H35" i="8"/>
  <c r="I36" i="8"/>
  <c r="I46" i="8"/>
  <c r="I48" i="8"/>
  <c r="J39" i="8"/>
  <c r="J41" i="8"/>
  <c r="J42" i="8"/>
  <c r="J43" i="8"/>
  <c r="J44" i="8"/>
  <c r="J45" i="8"/>
  <c r="J34" i="8"/>
  <c r="I35" i="8"/>
  <c r="J36" i="8"/>
  <c r="J46" i="8"/>
  <c r="J48" i="8"/>
  <c r="K39" i="8"/>
  <c r="K41" i="8"/>
  <c r="K42" i="8"/>
  <c r="K43" i="8"/>
  <c r="K44" i="8"/>
  <c r="K45" i="8"/>
  <c r="K34" i="8"/>
  <c r="J35" i="8"/>
  <c r="K36" i="8"/>
  <c r="K46" i="8"/>
  <c r="K48" i="8"/>
  <c r="L39" i="8"/>
  <c r="L41" i="8"/>
  <c r="L42" i="8"/>
  <c r="L43" i="8"/>
  <c r="L44" i="8"/>
  <c r="L45" i="8"/>
  <c r="L34" i="8"/>
  <c r="K35" i="8"/>
  <c r="L36" i="8"/>
  <c r="L46" i="8"/>
  <c r="L48" i="8"/>
  <c r="M39" i="8"/>
  <c r="M41" i="8"/>
  <c r="M42" i="8"/>
  <c r="M43" i="8"/>
  <c r="M44" i="8"/>
  <c r="M45" i="8"/>
  <c r="M34" i="8"/>
  <c r="L35" i="8"/>
  <c r="M36" i="8"/>
  <c r="M46" i="8"/>
  <c r="M48" i="8"/>
  <c r="N39" i="8"/>
  <c r="N41" i="8"/>
  <c r="N42" i="8"/>
  <c r="N43" i="8"/>
  <c r="N44" i="8"/>
  <c r="N45" i="8"/>
  <c r="N34" i="8"/>
  <c r="M35" i="8"/>
  <c r="N36" i="8"/>
  <c r="N46" i="8"/>
  <c r="N48" i="8"/>
  <c r="O39" i="8"/>
  <c r="O41" i="8"/>
  <c r="O42" i="8"/>
  <c r="O43" i="8"/>
  <c r="O44" i="8"/>
  <c r="O45" i="8"/>
  <c r="O34" i="8"/>
  <c r="O36" i="8"/>
  <c r="O46" i="8"/>
  <c r="O48" i="8"/>
  <c r="P39" i="8"/>
  <c r="P41" i="8"/>
  <c r="P42" i="8"/>
  <c r="P43" i="8"/>
  <c r="P44" i="8"/>
  <c r="P45" i="8"/>
  <c r="P34" i="8"/>
  <c r="P36" i="8"/>
  <c r="P46" i="8"/>
  <c r="P48" i="8"/>
  <c r="Q39" i="8"/>
  <c r="Q41" i="8"/>
  <c r="Q42" i="8"/>
  <c r="Q43" i="8"/>
  <c r="Q44" i="8"/>
  <c r="Q45" i="8"/>
  <c r="Q34" i="8"/>
  <c r="Q36" i="8"/>
  <c r="Q46" i="8"/>
  <c r="Q48" i="8"/>
  <c r="R39" i="8"/>
  <c r="R41" i="8"/>
  <c r="R42" i="8"/>
  <c r="R43" i="8"/>
  <c r="R44" i="8"/>
  <c r="R45" i="8"/>
  <c r="R34" i="8"/>
  <c r="R36" i="8"/>
  <c r="R46" i="8"/>
  <c r="R48" i="8"/>
  <c r="S39" i="8"/>
  <c r="S41" i="8"/>
  <c r="S42" i="8"/>
  <c r="S43" i="8"/>
  <c r="S44" i="8"/>
  <c r="S45" i="8"/>
  <c r="S34" i="8"/>
  <c r="S36" i="8"/>
  <c r="S46" i="8"/>
  <c r="S48" i="8"/>
  <c r="T39" i="8"/>
  <c r="T41" i="8"/>
  <c r="T42" i="8"/>
  <c r="T43" i="8"/>
  <c r="T44" i="8"/>
  <c r="T45" i="8"/>
  <c r="T34" i="8"/>
  <c r="T36" i="8"/>
  <c r="T46" i="8"/>
  <c r="T48" i="8"/>
  <c r="U39" i="8"/>
  <c r="U41" i="8"/>
  <c r="U42" i="8"/>
  <c r="U43" i="8"/>
  <c r="U44" i="8"/>
  <c r="U45" i="8"/>
  <c r="U34" i="8"/>
  <c r="U36" i="8"/>
  <c r="U46" i="8"/>
  <c r="U48" i="8"/>
  <c r="V39" i="8"/>
  <c r="V41" i="8"/>
  <c r="V42" i="8"/>
  <c r="V43" i="8"/>
  <c r="V44" i="8"/>
  <c r="V45" i="8"/>
  <c r="V34" i="8"/>
  <c r="V36" i="8"/>
  <c r="V46" i="8"/>
  <c r="V48" i="8"/>
  <c r="W39" i="8"/>
  <c r="W41" i="8"/>
  <c r="W42" i="8"/>
  <c r="W43" i="8"/>
  <c r="W44" i="8"/>
  <c r="W45" i="8"/>
  <c r="W34" i="8"/>
  <c r="W36" i="8"/>
  <c r="W46" i="8"/>
  <c r="W48" i="8"/>
  <c r="X39" i="8"/>
  <c r="X41" i="8"/>
  <c r="X42" i="8"/>
  <c r="X43" i="8"/>
  <c r="X44" i="8"/>
  <c r="X45" i="8"/>
  <c r="X34" i="8"/>
  <c r="X36" i="8"/>
  <c r="X46" i="8"/>
  <c r="X48" i="8"/>
  <c r="Y39" i="8"/>
  <c r="Y41" i="8"/>
  <c r="Y42" i="8"/>
  <c r="Y43" i="8"/>
  <c r="Y44" i="8"/>
  <c r="Y45" i="8"/>
  <c r="Y34" i="8"/>
  <c r="Y36" i="8"/>
  <c r="Y46" i="8"/>
  <c r="Y48" i="8"/>
  <c r="Z39" i="8"/>
  <c r="Z41" i="8"/>
  <c r="Z42" i="8"/>
  <c r="Z43" i="8"/>
  <c r="Z44" i="8"/>
  <c r="Z45" i="8"/>
  <c r="Z34" i="8"/>
  <c r="Z36" i="8"/>
  <c r="Z46" i="8"/>
  <c r="Z48" i="8"/>
  <c r="AA39" i="8"/>
  <c r="AA41" i="8"/>
  <c r="AA42" i="8"/>
  <c r="AA43" i="8"/>
  <c r="AA44" i="8"/>
  <c r="AA45" i="8"/>
  <c r="AA34" i="8"/>
  <c r="AA36" i="8"/>
  <c r="AA46" i="8"/>
  <c r="AA48" i="8"/>
  <c r="AB39" i="8"/>
  <c r="AB41" i="8"/>
  <c r="AB42" i="8"/>
  <c r="AB43" i="8"/>
  <c r="AB44" i="8"/>
  <c r="AB45" i="8"/>
  <c r="AB34" i="8"/>
  <c r="AB36" i="8"/>
  <c r="AB46" i="8"/>
  <c r="AB48" i="8"/>
  <c r="AC39" i="8"/>
  <c r="AC41" i="8"/>
  <c r="AC42" i="8"/>
  <c r="AC43" i="8"/>
  <c r="AC44" i="8"/>
  <c r="AC45" i="8"/>
  <c r="AC34" i="8"/>
  <c r="AC36" i="8"/>
  <c r="AC46" i="8"/>
  <c r="AC48" i="8"/>
  <c r="AD39" i="8"/>
  <c r="AD41" i="8"/>
  <c r="AD42" i="8"/>
  <c r="AD43" i="8"/>
  <c r="AD44" i="8"/>
  <c r="AD45" i="8"/>
  <c r="AD34" i="8"/>
  <c r="AD36" i="8"/>
  <c r="AD46" i="8"/>
  <c r="AD48" i="8"/>
  <c r="AE39" i="8"/>
  <c r="AE41" i="8"/>
  <c r="AE42" i="8"/>
  <c r="AE43" i="8"/>
  <c r="AE44" i="8"/>
  <c r="AE45" i="8"/>
  <c r="AE34" i="8"/>
  <c r="AE36" i="8"/>
  <c r="AE46" i="8"/>
  <c r="AE48" i="8"/>
  <c r="AF39" i="8"/>
  <c r="AF41" i="8"/>
  <c r="AF42" i="8"/>
  <c r="AF43" i="8"/>
  <c r="AF44" i="8"/>
  <c r="AF45" i="8"/>
  <c r="AF34" i="8"/>
  <c r="AF36" i="8"/>
  <c r="AF46" i="8"/>
  <c r="AF48" i="8"/>
  <c r="AG39" i="8"/>
  <c r="AG41" i="8"/>
  <c r="AG42" i="8"/>
  <c r="AG43" i="8"/>
  <c r="AG44" i="8"/>
  <c r="AG45" i="8"/>
  <c r="AG34" i="8"/>
  <c r="AG36" i="8"/>
  <c r="AG46" i="8"/>
  <c r="AG48" i="8"/>
  <c r="AH39" i="8"/>
  <c r="AH41" i="8"/>
  <c r="AH42" i="8"/>
  <c r="AH43" i="8"/>
  <c r="AH44" i="8"/>
  <c r="AH45" i="8"/>
  <c r="AH34" i="8"/>
  <c r="AH36" i="8"/>
  <c r="AH46" i="8"/>
  <c r="AH48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D72" i="8"/>
  <c r="E27" i="8"/>
  <c r="E39" i="8"/>
  <c r="E40" i="8"/>
  <c r="E42" i="8"/>
  <c r="E44" i="8"/>
  <c r="E45" i="8"/>
  <c r="E72" i="8"/>
  <c r="F4" i="8"/>
  <c r="F6" i="8"/>
  <c r="F24" i="8"/>
  <c r="F8" i="8"/>
  <c r="F25" i="8"/>
  <c r="F10" i="8"/>
  <c r="F26" i="8"/>
  <c r="E59" i="8"/>
  <c r="E61" i="8"/>
  <c r="F60" i="8"/>
  <c r="F27" i="8"/>
  <c r="F30" i="8"/>
  <c r="F40" i="8"/>
  <c r="F50" i="8"/>
  <c r="F52" i="8"/>
  <c r="F72" i="8"/>
  <c r="G4" i="8"/>
  <c r="G6" i="8"/>
  <c r="G24" i="8"/>
  <c r="G8" i="8"/>
  <c r="G25" i="8"/>
  <c r="G10" i="8"/>
  <c r="G26" i="8"/>
  <c r="F59" i="8"/>
  <c r="F61" i="8"/>
  <c r="G60" i="8"/>
  <c r="G27" i="8"/>
  <c r="G30" i="8"/>
  <c r="G40" i="8"/>
  <c r="G50" i="8"/>
  <c r="G52" i="8"/>
  <c r="G72" i="8"/>
  <c r="H4" i="8"/>
  <c r="H6" i="8"/>
  <c r="H24" i="8"/>
  <c r="H8" i="8"/>
  <c r="H25" i="8"/>
  <c r="H10" i="8"/>
  <c r="H26" i="8"/>
  <c r="G59" i="8"/>
  <c r="G61" i="8"/>
  <c r="H60" i="8"/>
  <c r="H27" i="8"/>
  <c r="H30" i="8"/>
  <c r="H40" i="8"/>
  <c r="H50" i="8"/>
  <c r="H52" i="8"/>
  <c r="H72" i="8"/>
  <c r="I4" i="8"/>
  <c r="I6" i="8"/>
  <c r="I24" i="8"/>
  <c r="I8" i="8"/>
  <c r="I25" i="8"/>
  <c r="I10" i="8"/>
  <c r="I26" i="8"/>
  <c r="H59" i="8"/>
  <c r="H61" i="8"/>
  <c r="I60" i="8"/>
  <c r="I27" i="8"/>
  <c r="I30" i="8"/>
  <c r="I40" i="8"/>
  <c r="I50" i="8"/>
  <c r="I52" i="8"/>
  <c r="I72" i="8"/>
  <c r="J4" i="8"/>
  <c r="J6" i="8"/>
  <c r="J24" i="8"/>
  <c r="J8" i="8"/>
  <c r="J25" i="8"/>
  <c r="J10" i="8"/>
  <c r="J26" i="8"/>
  <c r="I59" i="8"/>
  <c r="I61" i="8"/>
  <c r="J60" i="8"/>
  <c r="J27" i="8"/>
  <c r="J30" i="8"/>
  <c r="J40" i="8"/>
  <c r="J50" i="8"/>
  <c r="J52" i="8"/>
  <c r="J72" i="8"/>
  <c r="K4" i="8"/>
  <c r="K6" i="8"/>
  <c r="K24" i="8"/>
  <c r="K8" i="8"/>
  <c r="K25" i="8"/>
  <c r="K10" i="8"/>
  <c r="K26" i="8"/>
  <c r="J59" i="8"/>
  <c r="J61" i="8"/>
  <c r="K60" i="8"/>
  <c r="K27" i="8"/>
  <c r="K30" i="8"/>
  <c r="K40" i="8"/>
  <c r="K50" i="8"/>
  <c r="K52" i="8"/>
  <c r="K72" i="8"/>
  <c r="L4" i="8"/>
  <c r="L6" i="8"/>
  <c r="L24" i="8"/>
  <c r="L8" i="8"/>
  <c r="L25" i="8"/>
  <c r="L10" i="8"/>
  <c r="L26" i="8"/>
  <c r="K59" i="8"/>
  <c r="K61" i="8"/>
  <c r="L60" i="8"/>
  <c r="L27" i="8"/>
  <c r="L30" i="8"/>
  <c r="L40" i="8"/>
  <c r="L50" i="8"/>
  <c r="L52" i="8"/>
  <c r="L72" i="8"/>
  <c r="M4" i="8"/>
  <c r="M6" i="8"/>
  <c r="M24" i="8"/>
  <c r="M8" i="8"/>
  <c r="M25" i="8"/>
  <c r="M10" i="8"/>
  <c r="M26" i="8"/>
  <c r="L59" i="8"/>
  <c r="L61" i="8"/>
  <c r="M60" i="8"/>
  <c r="M27" i="8"/>
  <c r="M30" i="8"/>
  <c r="M40" i="8"/>
  <c r="M50" i="8"/>
  <c r="M52" i="8"/>
  <c r="M72" i="8"/>
  <c r="N4" i="8"/>
  <c r="N6" i="8"/>
  <c r="N24" i="8"/>
  <c r="N8" i="8"/>
  <c r="N25" i="8"/>
  <c r="N10" i="8"/>
  <c r="N26" i="8"/>
  <c r="M59" i="8"/>
  <c r="M61" i="8"/>
  <c r="N60" i="8"/>
  <c r="N27" i="8"/>
  <c r="N30" i="8"/>
  <c r="N40" i="8"/>
  <c r="N50" i="8"/>
  <c r="N52" i="8"/>
  <c r="N72" i="8"/>
  <c r="O4" i="8"/>
  <c r="O6" i="8"/>
  <c r="O24" i="8"/>
  <c r="O8" i="8"/>
  <c r="O25" i="8"/>
  <c r="O10" i="8"/>
  <c r="O26" i="8"/>
  <c r="N59" i="8"/>
  <c r="N61" i="8"/>
  <c r="O60" i="8"/>
  <c r="O27" i="8"/>
  <c r="O30" i="8"/>
  <c r="O40" i="8"/>
  <c r="O50" i="8"/>
  <c r="O52" i="8"/>
  <c r="O72" i="8"/>
  <c r="P4" i="8"/>
  <c r="P6" i="8"/>
  <c r="P24" i="8"/>
  <c r="P8" i="8"/>
  <c r="P25" i="8"/>
  <c r="P10" i="8"/>
  <c r="P26" i="8"/>
  <c r="O59" i="8"/>
  <c r="O61" i="8"/>
  <c r="P60" i="8"/>
  <c r="P27" i="8"/>
  <c r="P30" i="8"/>
  <c r="P40" i="8"/>
  <c r="P50" i="8"/>
  <c r="P52" i="8"/>
  <c r="P72" i="8"/>
  <c r="Q4" i="8"/>
  <c r="Q6" i="8"/>
  <c r="Q24" i="8"/>
  <c r="Q8" i="8"/>
  <c r="Q25" i="8"/>
  <c r="Q10" i="8"/>
  <c r="Q26" i="8"/>
  <c r="P59" i="8"/>
  <c r="P61" i="8"/>
  <c r="Q60" i="8"/>
  <c r="Q27" i="8"/>
  <c r="Q30" i="8"/>
  <c r="Q40" i="8"/>
  <c r="Q50" i="8"/>
  <c r="Q52" i="8"/>
  <c r="Q72" i="8"/>
  <c r="R4" i="8"/>
  <c r="R6" i="8"/>
  <c r="R24" i="8"/>
  <c r="R8" i="8"/>
  <c r="R25" i="8"/>
  <c r="R10" i="8"/>
  <c r="R26" i="8"/>
  <c r="Q59" i="8"/>
  <c r="Q61" i="8"/>
  <c r="R60" i="8"/>
  <c r="R27" i="8"/>
  <c r="R30" i="8"/>
  <c r="R40" i="8"/>
  <c r="R50" i="8"/>
  <c r="R52" i="8"/>
  <c r="R72" i="8"/>
  <c r="S4" i="8"/>
  <c r="S6" i="8"/>
  <c r="S24" i="8"/>
  <c r="S8" i="8"/>
  <c r="S25" i="8"/>
  <c r="S10" i="8"/>
  <c r="S26" i="8"/>
  <c r="R59" i="8"/>
  <c r="R61" i="8"/>
  <c r="S60" i="8"/>
  <c r="S27" i="8"/>
  <c r="S30" i="8"/>
  <c r="S40" i="8"/>
  <c r="S50" i="8"/>
  <c r="S52" i="8"/>
  <c r="S72" i="8"/>
  <c r="T4" i="8"/>
  <c r="T6" i="8"/>
  <c r="T24" i="8"/>
  <c r="T8" i="8"/>
  <c r="T25" i="8"/>
  <c r="T10" i="8"/>
  <c r="T26" i="8"/>
  <c r="S59" i="8"/>
  <c r="S61" i="8"/>
  <c r="T60" i="8"/>
  <c r="T27" i="8"/>
  <c r="T30" i="8"/>
  <c r="T40" i="8"/>
  <c r="T50" i="8"/>
  <c r="T52" i="8"/>
  <c r="T72" i="8"/>
  <c r="U4" i="8"/>
  <c r="U6" i="8"/>
  <c r="U24" i="8"/>
  <c r="U8" i="8"/>
  <c r="U25" i="8"/>
  <c r="U10" i="8"/>
  <c r="U26" i="8"/>
  <c r="T59" i="8"/>
  <c r="T61" i="8"/>
  <c r="U60" i="8"/>
  <c r="U27" i="8"/>
  <c r="U30" i="8"/>
  <c r="U40" i="8"/>
  <c r="U50" i="8"/>
  <c r="U52" i="8"/>
  <c r="U72" i="8"/>
  <c r="V4" i="8"/>
  <c r="V6" i="8"/>
  <c r="V24" i="8"/>
  <c r="V8" i="8"/>
  <c r="V25" i="8"/>
  <c r="V10" i="8"/>
  <c r="V26" i="8"/>
  <c r="U59" i="8"/>
  <c r="U61" i="8"/>
  <c r="V60" i="8"/>
  <c r="V27" i="8"/>
  <c r="V30" i="8"/>
  <c r="V40" i="8"/>
  <c r="V50" i="8"/>
  <c r="V52" i="8"/>
  <c r="V72" i="8"/>
  <c r="W4" i="8"/>
  <c r="W6" i="8"/>
  <c r="W24" i="8"/>
  <c r="W8" i="8"/>
  <c r="W25" i="8"/>
  <c r="W10" i="8"/>
  <c r="W26" i="8"/>
  <c r="V59" i="8"/>
  <c r="V61" i="8"/>
  <c r="W60" i="8"/>
  <c r="W27" i="8"/>
  <c r="W30" i="8"/>
  <c r="W40" i="8"/>
  <c r="W50" i="8"/>
  <c r="W52" i="8"/>
  <c r="W72" i="8"/>
  <c r="X4" i="8"/>
  <c r="X6" i="8"/>
  <c r="X24" i="8"/>
  <c r="X8" i="8"/>
  <c r="X25" i="8"/>
  <c r="X10" i="8"/>
  <c r="X26" i="8"/>
  <c r="W59" i="8"/>
  <c r="W61" i="8"/>
  <c r="X60" i="8"/>
  <c r="X27" i="8"/>
  <c r="X30" i="8"/>
  <c r="X40" i="8"/>
  <c r="X50" i="8"/>
  <c r="X52" i="8"/>
  <c r="X72" i="8"/>
  <c r="Y4" i="8"/>
  <c r="Y6" i="8"/>
  <c r="Y24" i="8"/>
  <c r="Y8" i="8"/>
  <c r="Y25" i="8"/>
  <c r="Y10" i="8"/>
  <c r="Y26" i="8"/>
  <c r="X59" i="8"/>
  <c r="X61" i="8"/>
  <c r="Y60" i="8"/>
  <c r="Y27" i="8"/>
  <c r="Y30" i="8"/>
  <c r="Y40" i="8"/>
  <c r="Y50" i="8"/>
  <c r="Y52" i="8"/>
  <c r="Y72" i="8"/>
  <c r="Z4" i="8"/>
  <c r="Z6" i="8"/>
  <c r="Z24" i="8"/>
  <c r="Z8" i="8"/>
  <c r="Z25" i="8"/>
  <c r="Z10" i="8"/>
  <c r="Z26" i="8"/>
  <c r="Y59" i="8"/>
  <c r="Y61" i="8"/>
  <c r="Z60" i="8"/>
  <c r="Z27" i="8"/>
  <c r="Z30" i="8"/>
  <c r="Z40" i="8"/>
  <c r="Z50" i="8"/>
  <c r="Z52" i="8"/>
  <c r="Z72" i="8"/>
  <c r="AA4" i="8"/>
  <c r="AA6" i="8"/>
  <c r="AA24" i="8"/>
  <c r="AA8" i="8"/>
  <c r="AA25" i="8"/>
  <c r="AA10" i="8"/>
  <c r="AA26" i="8"/>
  <c r="Z59" i="8"/>
  <c r="Z61" i="8"/>
  <c r="AA60" i="8"/>
  <c r="AA27" i="8"/>
  <c r="AA30" i="8"/>
  <c r="AA40" i="8"/>
  <c r="AA50" i="8"/>
  <c r="AA52" i="8"/>
  <c r="AA72" i="8"/>
  <c r="AB4" i="8"/>
  <c r="AB6" i="8"/>
  <c r="AB24" i="8"/>
  <c r="AB8" i="8"/>
  <c r="AB25" i="8"/>
  <c r="AB10" i="8"/>
  <c r="AB26" i="8"/>
  <c r="AA59" i="8"/>
  <c r="AA61" i="8"/>
  <c r="AB60" i="8"/>
  <c r="AB27" i="8"/>
  <c r="AB30" i="8"/>
  <c r="AB40" i="8"/>
  <c r="AB50" i="8"/>
  <c r="AB52" i="8"/>
  <c r="AB72" i="8"/>
  <c r="AC4" i="8"/>
  <c r="AC6" i="8"/>
  <c r="AC24" i="8"/>
  <c r="AC8" i="8"/>
  <c r="AC25" i="8"/>
  <c r="AC10" i="8"/>
  <c r="AC26" i="8"/>
  <c r="AB59" i="8"/>
  <c r="AB61" i="8"/>
  <c r="AC60" i="8"/>
  <c r="AC27" i="8"/>
  <c r="AC30" i="8"/>
  <c r="AC40" i="8"/>
  <c r="AC50" i="8"/>
  <c r="AC52" i="8"/>
  <c r="AC72" i="8"/>
  <c r="AD4" i="8"/>
  <c r="AD6" i="8"/>
  <c r="AD24" i="8"/>
  <c r="AD8" i="8"/>
  <c r="AD25" i="8"/>
  <c r="AD10" i="8"/>
  <c r="AD26" i="8"/>
  <c r="AD60" i="8"/>
  <c r="AD27" i="8"/>
  <c r="AD30" i="8"/>
  <c r="AD40" i="8"/>
  <c r="AD50" i="8"/>
  <c r="AD52" i="8"/>
  <c r="AD72" i="8"/>
  <c r="AE4" i="8"/>
  <c r="AE6" i="8"/>
  <c r="AE24" i="8"/>
  <c r="AE8" i="8"/>
  <c r="AE25" i="8"/>
  <c r="AE10" i="8"/>
  <c r="AE26" i="8"/>
  <c r="AE60" i="8"/>
  <c r="AE27" i="8"/>
  <c r="AE30" i="8"/>
  <c r="AE40" i="8"/>
  <c r="AE50" i="8"/>
  <c r="AE52" i="8"/>
  <c r="AE72" i="8"/>
  <c r="AF4" i="8"/>
  <c r="AF6" i="8"/>
  <c r="AF24" i="8"/>
  <c r="AF8" i="8"/>
  <c r="AF25" i="8"/>
  <c r="AF10" i="8"/>
  <c r="AF26" i="8"/>
  <c r="AF60" i="8"/>
  <c r="AF27" i="8"/>
  <c r="AF30" i="8"/>
  <c r="AF40" i="8"/>
  <c r="AF50" i="8"/>
  <c r="AF52" i="8"/>
  <c r="AF72" i="8"/>
  <c r="AG4" i="8"/>
  <c r="AG6" i="8"/>
  <c r="AG24" i="8"/>
  <c r="AG8" i="8"/>
  <c r="AG25" i="8"/>
  <c r="AG10" i="8"/>
  <c r="AG26" i="8"/>
  <c r="AG60" i="8"/>
  <c r="AG27" i="8"/>
  <c r="AG30" i="8"/>
  <c r="AG40" i="8"/>
  <c r="AG50" i="8"/>
  <c r="AG52" i="8"/>
  <c r="AG72" i="8"/>
  <c r="AH4" i="8"/>
  <c r="AH6" i="8"/>
  <c r="AH24" i="8"/>
  <c r="AH8" i="8"/>
  <c r="AH25" i="8"/>
  <c r="AH10" i="8"/>
  <c r="AH26" i="8"/>
  <c r="AH60" i="8"/>
  <c r="AH27" i="8"/>
  <c r="AH30" i="8"/>
  <c r="AH40" i="8"/>
  <c r="AH50" i="8"/>
  <c r="AH52" i="8"/>
  <c r="AH72" i="8"/>
  <c r="B72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B71" i="8"/>
  <c r="E65" i="8"/>
  <c r="E67" i="8"/>
  <c r="F65" i="8"/>
  <c r="F66" i="8"/>
  <c r="F67" i="8"/>
  <c r="G65" i="8"/>
  <c r="G66" i="8"/>
  <c r="G67" i="8"/>
  <c r="H65" i="8"/>
  <c r="H66" i="8"/>
  <c r="H67" i="8"/>
  <c r="I65" i="8"/>
  <c r="I66" i="8"/>
  <c r="I67" i="8"/>
  <c r="J65" i="8"/>
  <c r="J66" i="8"/>
  <c r="J67" i="8"/>
  <c r="K65" i="8"/>
  <c r="K66" i="8"/>
  <c r="K67" i="8"/>
  <c r="L65" i="8"/>
  <c r="L66" i="8"/>
  <c r="L67" i="8"/>
  <c r="M65" i="8"/>
  <c r="M66" i="8"/>
  <c r="M67" i="8"/>
  <c r="N65" i="8"/>
  <c r="N66" i="8"/>
  <c r="N67" i="8"/>
  <c r="O65" i="8"/>
  <c r="O66" i="8"/>
  <c r="O67" i="8"/>
  <c r="P65" i="8"/>
  <c r="P66" i="8"/>
  <c r="P67" i="8"/>
  <c r="Q65" i="8"/>
  <c r="Q66" i="8"/>
  <c r="Q67" i="8"/>
  <c r="R65" i="8"/>
  <c r="R66" i="8"/>
  <c r="R67" i="8"/>
  <c r="S65" i="8"/>
  <c r="S66" i="8"/>
  <c r="S67" i="8"/>
  <c r="T65" i="8"/>
  <c r="T66" i="8"/>
  <c r="T67" i="8"/>
  <c r="U65" i="8"/>
  <c r="U66" i="8"/>
  <c r="U67" i="8"/>
  <c r="V65" i="8"/>
  <c r="V66" i="8"/>
  <c r="V67" i="8"/>
  <c r="W65" i="8"/>
  <c r="W66" i="8"/>
  <c r="W67" i="8"/>
  <c r="X65" i="8"/>
  <c r="X66" i="8"/>
  <c r="X67" i="8"/>
  <c r="Y65" i="8"/>
  <c r="Y66" i="8"/>
  <c r="Y67" i="8"/>
  <c r="Z65" i="8"/>
  <c r="Z66" i="8"/>
  <c r="Z67" i="8"/>
  <c r="AA65" i="8"/>
  <c r="AA66" i="8"/>
  <c r="AA67" i="8"/>
  <c r="AB65" i="8"/>
  <c r="AB66" i="8"/>
  <c r="AB67" i="8"/>
  <c r="AC65" i="8"/>
  <c r="AC66" i="8"/>
  <c r="AC67" i="8"/>
  <c r="AD65" i="8"/>
  <c r="AD66" i="8"/>
  <c r="AD67" i="8"/>
  <c r="AE65" i="8"/>
  <c r="AE66" i="8"/>
  <c r="AE67" i="8"/>
  <c r="AF65" i="8"/>
  <c r="AF66" i="8"/>
  <c r="AF67" i="8"/>
  <c r="AG65" i="8"/>
  <c r="AG66" i="8"/>
  <c r="AG67" i="8"/>
  <c r="AH65" i="8"/>
  <c r="AH66" i="8"/>
  <c r="AH67" i="8"/>
  <c r="D66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59" i="8"/>
  <c r="AC62" i="8"/>
  <c r="AD59" i="8"/>
  <c r="AD62" i="8"/>
  <c r="AE59" i="8"/>
  <c r="AE62" i="8"/>
  <c r="AF59" i="8"/>
  <c r="AF62" i="8"/>
  <c r="AG59" i="8"/>
  <c r="AG62" i="8"/>
  <c r="AH59" i="8"/>
  <c r="AH62" i="8"/>
  <c r="AC61" i="8"/>
  <c r="AD61" i="8"/>
  <c r="AE61" i="8"/>
  <c r="AF61" i="8"/>
  <c r="AG61" i="8"/>
  <c r="AH61" i="8"/>
  <c r="D60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AE54" i="8"/>
  <c r="AF54" i="8"/>
  <c r="AG54" i="8"/>
  <c r="AH54" i="8"/>
  <c r="B51" i="8"/>
  <c r="B56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B50" i="8"/>
  <c r="B55" i="8"/>
  <c r="D54" i="8"/>
  <c r="B52" i="8"/>
  <c r="B53" i="8"/>
  <c r="B54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2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B39" i="8"/>
  <c r="B40" i="8"/>
  <c r="B41" i="8"/>
  <c r="B42" i="8"/>
  <c r="B43" i="8"/>
  <c r="B44" i="8"/>
  <c r="B45" i="8"/>
  <c r="B46" i="8"/>
  <c r="B47" i="8"/>
  <c r="B48" i="8"/>
  <c r="A47" i="8"/>
  <c r="D38" i="8"/>
  <c r="A38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B24" i="8"/>
  <c r="B25" i="8"/>
  <c r="B26" i="8"/>
  <c r="B27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B28" i="8"/>
  <c r="B29" i="8"/>
  <c r="B30" i="8"/>
  <c r="A29" i="8"/>
  <c r="A23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11" i="8"/>
  <c r="D9" i="8"/>
  <c r="D7" i="8"/>
  <c r="F2" i="8"/>
  <c r="G2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V2" i="8"/>
  <c r="W2" i="8"/>
  <c r="X2" i="8"/>
  <c r="Y2" i="8"/>
  <c r="Z2" i="8"/>
  <c r="AA2" i="8"/>
  <c r="AB2" i="8"/>
  <c r="AC2" i="8"/>
  <c r="AD2" i="8"/>
  <c r="AE2" i="8"/>
  <c r="AF2" i="8"/>
  <c r="AG2" i="8"/>
  <c r="AH2" i="8"/>
  <c r="F8" i="6"/>
  <c r="F4" i="6"/>
  <c r="F26" i="6"/>
  <c r="F10" i="6"/>
  <c r="F27" i="6"/>
  <c r="E6" i="6"/>
  <c r="F6" i="6"/>
  <c r="F25" i="6"/>
  <c r="F30" i="6"/>
  <c r="F36" i="6"/>
  <c r="F34" i="6"/>
  <c r="F37" i="6"/>
  <c r="F39" i="6"/>
  <c r="F40" i="6"/>
  <c r="F38" i="6"/>
  <c r="F43" i="6"/>
  <c r="F45" i="6"/>
  <c r="F61" i="6"/>
  <c r="E47" i="6"/>
  <c r="E62" i="6"/>
  <c r="F47" i="6"/>
  <c r="F62" i="6"/>
  <c r="G8" i="6"/>
  <c r="G4" i="6"/>
  <c r="G26" i="6"/>
  <c r="G10" i="6"/>
  <c r="G27" i="6"/>
  <c r="G6" i="6"/>
  <c r="G25" i="6"/>
  <c r="G30" i="6"/>
  <c r="G36" i="6"/>
  <c r="G34" i="6"/>
  <c r="G37" i="6"/>
  <c r="G38" i="6"/>
  <c r="G39" i="6"/>
  <c r="G40" i="6"/>
  <c r="G43" i="6"/>
  <c r="G45" i="6"/>
  <c r="G47" i="6"/>
  <c r="G62" i="6"/>
  <c r="H8" i="6"/>
  <c r="H4" i="6"/>
  <c r="H26" i="6"/>
  <c r="H10" i="6"/>
  <c r="H27" i="6"/>
  <c r="H6" i="6"/>
  <c r="H25" i="6"/>
  <c r="H30" i="6"/>
  <c r="H36" i="6"/>
  <c r="H34" i="6"/>
  <c r="H37" i="6"/>
  <c r="H38" i="6"/>
  <c r="H39" i="6"/>
  <c r="H40" i="6"/>
  <c r="H43" i="6"/>
  <c r="H45" i="6"/>
  <c r="H47" i="6"/>
  <c r="H62" i="6"/>
  <c r="I8" i="6"/>
  <c r="I4" i="6"/>
  <c r="I26" i="6"/>
  <c r="I10" i="6"/>
  <c r="I27" i="6"/>
  <c r="I6" i="6"/>
  <c r="I25" i="6"/>
  <c r="I30" i="6"/>
  <c r="I36" i="6"/>
  <c r="I34" i="6"/>
  <c r="I37" i="6"/>
  <c r="I38" i="6"/>
  <c r="I39" i="6"/>
  <c r="I40" i="6"/>
  <c r="I43" i="6"/>
  <c r="I45" i="6"/>
  <c r="I47" i="6"/>
  <c r="I62" i="6"/>
  <c r="J8" i="6"/>
  <c r="J4" i="6"/>
  <c r="J26" i="6"/>
  <c r="J10" i="6"/>
  <c r="J27" i="6"/>
  <c r="J6" i="6"/>
  <c r="J25" i="6"/>
  <c r="J30" i="6"/>
  <c r="J36" i="6"/>
  <c r="J34" i="6"/>
  <c r="J37" i="6"/>
  <c r="J38" i="6"/>
  <c r="J39" i="6"/>
  <c r="J40" i="6"/>
  <c r="J43" i="6"/>
  <c r="J45" i="6"/>
  <c r="J47" i="6"/>
  <c r="J62" i="6"/>
  <c r="K8" i="6"/>
  <c r="K4" i="6"/>
  <c r="K26" i="6"/>
  <c r="K10" i="6"/>
  <c r="K27" i="6"/>
  <c r="K6" i="6"/>
  <c r="K25" i="6"/>
  <c r="K30" i="6"/>
  <c r="K36" i="6"/>
  <c r="K34" i="6"/>
  <c r="K37" i="6"/>
  <c r="K38" i="6"/>
  <c r="K39" i="6"/>
  <c r="K40" i="6"/>
  <c r="K43" i="6"/>
  <c r="K45" i="6"/>
  <c r="K47" i="6"/>
  <c r="K62" i="6"/>
  <c r="L8" i="6"/>
  <c r="L4" i="6"/>
  <c r="L26" i="6"/>
  <c r="L10" i="6"/>
  <c r="L27" i="6"/>
  <c r="L6" i="6"/>
  <c r="L25" i="6"/>
  <c r="L30" i="6"/>
  <c r="L36" i="6"/>
  <c r="L34" i="6"/>
  <c r="L37" i="6"/>
  <c r="L38" i="6"/>
  <c r="L39" i="6"/>
  <c r="L40" i="6"/>
  <c r="L43" i="6"/>
  <c r="L45" i="6"/>
  <c r="L47" i="6"/>
  <c r="L62" i="6"/>
  <c r="M8" i="6"/>
  <c r="M4" i="6"/>
  <c r="M26" i="6"/>
  <c r="M10" i="6"/>
  <c r="M27" i="6"/>
  <c r="M6" i="6"/>
  <c r="M25" i="6"/>
  <c r="M30" i="6"/>
  <c r="M36" i="6"/>
  <c r="M34" i="6"/>
  <c r="M37" i="6"/>
  <c r="M38" i="6"/>
  <c r="M39" i="6"/>
  <c r="M40" i="6"/>
  <c r="M43" i="6"/>
  <c r="M45" i="6"/>
  <c r="M47" i="6"/>
  <c r="M62" i="6"/>
  <c r="N8" i="6"/>
  <c r="N4" i="6"/>
  <c r="N26" i="6"/>
  <c r="N10" i="6"/>
  <c r="N27" i="6"/>
  <c r="N6" i="6"/>
  <c r="N25" i="6"/>
  <c r="N30" i="6"/>
  <c r="N36" i="6"/>
  <c r="N34" i="6"/>
  <c r="N37" i="6"/>
  <c r="N38" i="6"/>
  <c r="N39" i="6"/>
  <c r="N40" i="6"/>
  <c r="N43" i="6"/>
  <c r="N45" i="6"/>
  <c r="N47" i="6"/>
  <c r="N62" i="6"/>
  <c r="O8" i="6"/>
  <c r="O4" i="6"/>
  <c r="O26" i="6"/>
  <c r="O10" i="6"/>
  <c r="O27" i="6"/>
  <c r="O6" i="6"/>
  <c r="O25" i="6"/>
  <c r="O30" i="6"/>
  <c r="O36" i="6"/>
  <c r="O34" i="6"/>
  <c r="O37" i="6"/>
  <c r="O38" i="6"/>
  <c r="O39" i="6"/>
  <c r="O40" i="6"/>
  <c r="O43" i="6"/>
  <c r="O45" i="6"/>
  <c r="O47" i="6"/>
  <c r="O62" i="6"/>
  <c r="P8" i="6"/>
  <c r="P4" i="6"/>
  <c r="P26" i="6"/>
  <c r="P10" i="6"/>
  <c r="P27" i="6"/>
  <c r="P6" i="6"/>
  <c r="P25" i="6"/>
  <c r="P30" i="6"/>
  <c r="P36" i="6"/>
  <c r="P34" i="6"/>
  <c r="P37" i="6"/>
  <c r="P38" i="6"/>
  <c r="P39" i="6"/>
  <c r="P40" i="6"/>
  <c r="P43" i="6"/>
  <c r="P45" i="6"/>
  <c r="P47" i="6"/>
  <c r="P62" i="6"/>
  <c r="Q8" i="6"/>
  <c r="Q4" i="6"/>
  <c r="Q26" i="6"/>
  <c r="Q10" i="6"/>
  <c r="Q27" i="6"/>
  <c r="Q6" i="6"/>
  <c r="Q25" i="6"/>
  <c r="Q30" i="6"/>
  <c r="Q36" i="6"/>
  <c r="Q34" i="6"/>
  <c r="Q37" i="6"/>
  <c r="Q38" i="6"/>
  <c r="Q39" i="6"/>
  <c r="Q40" i="6"/>
  <c r="Q43" i="6"/>
  <c r="Q45" i="6"/>
  <c r="Q47" i="6"/>
  <c r="Q62" i="6"/>
  <c r="R8" i="6"/>
  <c r="R4" i="6"/>
  <c r="R26" i="6"/>
  <c r="R10" i="6"/>
  <c r="R27" i="6"/>
  <c r="R6" i="6"/>
  <c r="R25" i="6"/>
  <c r="R30" i="6"/>
  <c r="R36" i="6"/>
  <c r="R34" i="6"/>
  <c r="R37" i="6"/>
  <c r="R38" i="6"/>
  <c r="R39" i="6"/>
  <c r="R40" i="6"/>
  <c r="R43" i="6"/>
  <c r="R45" i="6"/>
  <c r="R47" i="6"/>
  <c r="R62" i="6"/>
  <c r="S8" i="6"/>
  <c r="S4" i="6"/>
  <c r="S26" i="6"/>
  <c r="S10" i="6"/>
  <c r="S27" i="6"/>
  <c r="S6" i="6"/>
  <c r="S25" i="6"/>
  <c r="S30" i="6"/>
  <c r="S36" i="6"/>
  <c r="S34" i="6"/>
  <c r="S37" i="6"/>
  <c r="S38" i="6"/>
  <c r="S39" i="6"/>
  <c r="S40" i="6"/>
  <c r="S43" i="6"/>
  <c r="S45" i="6"/>
  <c r="S47" i="6"/>
  <c r="S62" i="6"/>
  <c r="T8" i="6"/>
  <c r="T4" i="6"/>
  <c r="T26" i="6"/>
  <c r="T10" i="6"/>
  <c r="T27" i="6"/>
  <c r="T6" i="6"/>
  <c r="T25" i="6"/>
  <c r="T30" i="6"/>
  <c r="T36" i="6"/>
  <c r="T34" i="6"/>
  <c r="T37" i="6"/>
  <c r="T38" i="6"/>
  <c r="T39" i="6"/>
  <c r="T40" i="6"/>
  <c r="T43" i="6"/>
  <c r="T45" i="6"/>
  <c r="T47" i="6"/>
  <c r="T62" i="6"/>
  <c r="U8" i="6"/>
  <c r="U4" i="6"/>
  <c r="U26" i="6"/>
  <c r="U10" i="6"/>
  <c r="U27" i="6"/>
  <c r="U6" i="6"/>
  <c r="U25" i="6"/>
  <c r="U30" i="6"/>
  <c r="U36" i="6"/>
  <c r="U34" i="6"/>
  <c r="U37" i="6"/>
  <c r="U38" i="6"/>
  <c r="U39" i="6"/>
  <c r="U40" i="6"/>
  <c r="U43" i="6"/>
  <c r="U45" i="6"/>
  <c r="U47" i="6"/>
  <c r="U62" i="6"/>
  <c r="V8" i="6"/>
  <c r="V4" i="6"/>
  <c r="V26" i="6"/>
  <c r="V10" i="6"/>
  <c r="V27" i="6"/>
  <c r="V6" i="6"/>
  <c r="V25" i="6"/>
  <c r="V30" i="6"/>
  <c r="V36" i="6"/>
  <c r="V34" i="6"/>
  <c r="V37" i="6"/>
  <c r="V38" i="6"/>
  <c r="V39" i="6"/>
  <c r="V40" i="6"/>
  <c r="V43" i="6"/>
  <c r="V45" i="6"/>
  <c r="V47" i="6"/>
  <c r="V62" i="6"/>
  <c r="W8" i="6"/>
  <c r="W4" i="6"/>
  <c r="W26" i="6"/>
  <c r="W10" i="6"/>
  <c r="W27" i="6"/>
  <c r="W6" i="6"/>
  <c r="W25" i="6"/>
  <c r="W30" i="6"/>
  <c r="W36" i="6"/>
  <c r="W34" i="6"/>
  <c r="W37" i="6"/>
  <c r="W38" i="6"/>
  <c r="W39" i="6"/>
  <c r="W40" i="6"/>
  <c r="W43" i="6"/>
  <c r="W45" i="6"/>
  <c r="W47" i="6"/>
  <c r="W62" i="6"/>
  <c r="X8" i="6"/>
  <c r="X4" i="6"/>
  <c r="X26" i="6"/>
  <c r="X10" i="6"/>
  <c r="X27" i="6"/>
  <c r="X6" i="6"/>
  <c r="X25" i="6"/>
  <c r="X30" i="6"/>
  <c r="X36" i="6"/>
  <c r="X34" i="6"/>
  <c r="X37" i="6"/>
  <c r="X38" i="6"/>
  <c r="X39" i="6"/>
  <c r="X40" i="6"/>
  <c r="X43" i="6"/>
  <c r="X45" i="6"/>
  <c r="X47" i="6"/>
  <c r="X62" i="6"/>
  <c r="Y8" i="6"/>
  <c r="Y4" i="6"/>
  <c r="Y26" i="6"/>
  <c r="Y10" i="6"/>
  <c r="Y27" i="6"/>
  <c r="Y6" i="6"/>
  <c r="Y25" i="6"/>
  <c r="Y30" i="6"/>
  <c r="Y36" i="6"/>
  <c r="Y34" i="6"/>
  <c r="Y37" i="6"/>
  <c r="Y38" i="6"/>
  <c r="Y39" i="6"/>
  <c r="Y40" i="6"/>
  <c r="Y43" i="6"/>
  <c r="Y45" i="6"/>
  <c r="Y47" i="6"/>
  <c r="Y62" i="6"/>
  <c r="Z8" i="6"/>
  <c r="Z4" i="6"/>
  <c r="Z26" i="6"/>
  <c r="Z10" i="6"/>
  <c r="Z27" i="6"/>
  <c r="Z6" i="6"/>
  <c r="Z25" i="6"/>
  <c r="Z30" i="6"/>
  <c r="Z36" i="6"/>
  <c r="Z34" i="6"/>
  <c r="Z37" i="6"/>
  <c r="Z38" i="6"/>
  <c r="Z39" i="6"/>
  <c r="Z40" i="6"/>
  <c r="Z43" i="6"/>
  <c r="Z45" i="6"/>
  <c r="Z47" i="6"/>
  <c r="Z62" i="6"/>
  <c r="AA8" i="6"/>
  <c r="AA4" i="6"/>
  <c r="AA26" i="6"/>
  <c r="AA10" i="6"/>
  <c r="AA27" i="6"/>
  <c r="AA6" i="6"/>
  <c r="AA25" i="6"/>
  <c r="AA30" i="6"/>
  <c r="AA36" i="6"/>
  <c r="AA34" i="6"/>
  <c r="AA37" i="6"/>
  <c r="AA38" i="6"/>
  <c r="AA39" i="6"/>
  <c r="AA40" i="6"/>
  <c r="AA43" i="6"/>
  <c r="AA45" i="6"/>
  <c r="AA47" i="6"/>
  <c r="AA62" i="6"/>
  <c r="AB8" i="6"/>
  <c r="AB4" i="6"/>
  <c r="AB26" i="6"/>
  <c r="AB10" i="6"/>
  <c r="AB27" i="6"/>
  <c r="AB6" i="6"/>
  <c r="AB25" i="6"/>
  <c r="AB30" i="6"/>
  <c r="AB36" i="6"/>
  <c r="AB34" i="6"/>
  <c r="AB37" i="6"/>
  <c r="AB38" i="6"/>
  <c r="AB39" i="6"/>
  <c r="AB40" i="6"/>
  <c r="AB43" i="6"/>
  <c r="AB45" i="6"/>
  <c r="AB47" i="6"/>
  <c r="AB62" i="6"/>
  <c r="AC8" i="6"/>
  <c r="AC4" i="6"/>
  <c r="AC26" i="6"/>
  <c r="AC10" i="6"/>
  <c r="AC27" i="6"/>
  <c r="AC6" i="6"/>
  <c r="AC25" i="6"/>
  <c r="AC30" i="6"/>
  <c r="AC36" i="6"/>
  <c r="AC34" i="6"/>
  <c r="AC37" i="6"/>
  <c r="AC38" i="6"/>
  <c r="AC39" i="6"/>
  <c r="AC40" i="6"/>
  <c r="AC43" i="6"/>
  <c r="AC45" i="6"/>
  <c r="AC47" i="6"/>
  <c r="AC62" i="6"/>
  <c r="AD8" i="6"/>
  <c r="AD4" i="6"/>
  <c r="AD26" i="6"/>
  <c r="AD10" i="6"/>
  <c r="AD27" i="6"/>
  <c r="AD6" i="6"/>
  <c r="AD25" i="6"/>
  <c r="AD30" i="6"/>
  <c r="AD36" i="6"/>
  <c r="AD34" i="6"/>
  <c r="AD37" i="6"/>
  <c r="AD38" i="6"/>
  <c r="AD39" i="6"/>
  <c r="AD40" i="6"/>
  <c r="AD43" i="6"/>
  <c r="AD45" i="6"/>
  <c r="AD47" i="6"/>
  <c r="AD62" i="6"/>
  <c r="AE8" i="6"/>
  <c r="AE4" i="6"/>
  <c r="AE26" i="6"/>
  <c r="AE10" i="6"/>
  <c r="AE27" i="6"/>
  <c r="AE6" i="6"/>
  <c r="AE25" i="6"/>
  <c r="AE30" i="6"/>
  <c r="AE36" i="6"/>
  <c r="AE34" i="6"/>
  <c r="AE37" i="6"/>
  <c r="AE38" i="6"/>
  <c r="AE39" i="6"/>
  <c r="AE40" i="6"/>
  <c r="AE43" i="6"/>
  <c r="AE45" i="6"/>
  <c r="AE47" i="6"/>
  <c r="AE62" i="6"/>
  <c r="AF8" i="6"/>
  <c r="AF4" i="6"/>
  <c r="AF26" i="6"/>
  <c r="AF10" i="6"/>
  <c r="AF27" i="6"/>
  <c r="AF6" i="6"/>
  <c r="AF25" i="6"/>
  <c r="AF30" i="6"/>
  <c r="AF36" i="6"/>
  <c r="AF34" i="6"/>
  <c r="AF37" i="6"/>
  <c r="AF38" i="6"/>
  <c r="AF39" i="6"/>
  <c r="AF40" i="6"/>
  <c r="AF43" i="6"/>
  <c r="AF45" i="6"/>
  <c r="AF47" i="6"/>
  <c r="AF62" i="6"/>
  <c r="AG8" i="6"/>
  <c r="AG4" i="6"/>
  <c r="AG26" i="6"/>
  <c r="AG10" i="6"/>
  <c r="AG27" i="6"/>
  <c r="AG6" i="6"/>
  <c r="AG25" i="6"/>
  <c r="AG30" i="6"/>
  <c r="AG36" i="6"/>
  <c r="AG34" i="6"/>
  <c r="AG37" i="6"/>
  <c r="AG38" i="6"/>
  <c r="AG39" i="6"/>
  <c r="AG40" i="6"/>
  <c r="AG43" i="6"/>
  <c r="AG45" i="6"/>
  <c r="AG47" i="6"/>
  <c r="AG62" i="6"/>
  <c r="AH8" i="6"/>
  <c r="AH4" i="6"/>
  <c r="AH26" i="6"/>
  <c r="AH10" i="6"/>
  <c r="AH27" i="6"/>
  <c r="AH6" i="6"/>
  <c r="AH25" i="6"/>
  <c r="AH30" i="6"/>
  <c r="AH36" i="6"/>
  <c r="AH34" i="6"/>
  <c r="AH37" i="6"/>
  <c r="AH38" i="6"/>
  <c r="AH39" i="6"/>
  <c r="AH40" i="6"/>
  <c r="AH43" i="6"/>
  <c r="AH45" i="6"/>
  <c r="AH47" i="6"/>
  <c r="AH62" i="6"/>
  <c r="D62" i="6"/>
  <c r="B62" i="6"/>
  <c r="E4" i="1"/>
  <c r="E26" i="1"/>
  <c r="E6" i="1"/>
  <c r="E25" i="1"/>
  <c r="B15" i="1"/>
  <c r="E27" i="1"/>
  <c r="E31" i="1"/>
  <c r="B18" i="1"/>
  <c r="B20" i="1"/>
  <c r="E37" i="1"/>
  <c r="E44" i="1"/>
  <c r="E46" i="1"/>
  <c r="E48" i="1"/>
  <c r="E68" i="1"/>
  <c r="F4" i="1"/>
  <c r="F6" i="1"/>
  <c r="F25" i="1"/>
  <c r="F8" i="1"/>
  <c r="F26" i="1"/>
  <c r="F10" i="1"/>
  <c r="F27" i="1"/>
  <c r="E55" i="1"/>
  <c r="E57" i="1"/>
  <c r="F56" i="1"/>
  <c r="F28" i="1"/>
  <c r="F31" i="1"/>
  <c r="F35" i="1"/>
  <c r="F37" i="1"/>
  <c r="F38" i="1"/>
  <c r="F40" i="1"/>
  <c r="F41" i="1"/>
  <c r="F39" i="1"/>
  <c r="F44" i="1"/>
  <c r="F46" i="1"/>
  <c r="F48" i="1"/>
  <c r="F68" i="1"/>
  <c r="G4" i="1"/>
  <c r="G6" i="1"/>
  <c r="G25" i="1"/>
  <c r="G8" i="1"/>
  <c r="G26" i="1"/>
  <c r="G10" i="1"/>
  <c r="G27" i="1"/>
  <c r="F55" i="1"/>
  <c r="F57" i="1"/>
  <c r="G56" i="1"/>
  <c r="G28" i="1"/>
  <c r="G31" i="1"/>
  <c r="G35" i="1"/>
  <c r="G37" i="1"/>
  <c r="G38" i="1"/>
  <c r="G40" i="1"/>
  <c r="G41" i="1"/>
  <c r="G39" i="1"/>
  <c r="G44" i="1"/>
  <c r="G46" i="1"/>
  <c r="G48" i="1"/>
  <c r="G68" i="1"/>
  <c r="H4" i="1"/>
  <c r="H6" i="1"/>
  <c r="H25" i="1"/>
  <c r="H8" i="1"/>
  <c r="H26" i="1"/>
  <c r="H10" i="1"/>
  <c r="H27" i="1"/>
  <c r="G55" i="1"/>
  <c r="G57" i="1"/>
  <c r="H56" i="1"/>
  <c r="H28" i="1"/>
  <c r="H31" i="1"/>
  <c r="H35" i="1"/>
  <c r="H37" i="1"/>
  <c r="H38" i="1"/>
  <c r="H40" i="1"/>
  <c r="H41" i="1"/>
  <c r="H39" i="1"/>
  <c r="H44" i="1"/>
  <c r="H46" i="1"/>
  <c r="H48" i="1"/>
  <c r="H68" i="1"/>
  <c r="I4" i="1"/>
  <c r="I6" i="1"/>
  <c r="I25" i="1"/>
  <c r="I8" i="1"/>
  <c r="I26" i="1"/>
  <c r="I10" i="1"/>
  <c r="I27" i="1"/>
  <c r="H55" i="1"/>
  <c r="H57" i="1"/>
  <c r="I56" i="1"/>
  <c r="I28" i="1"/>
  <c r="I31" i="1"/>
  <c r="I35" i="1"/>
  <c r="I37" i="1"/>
  <c r="I38" i="1"/>
  <c r="I40" i="1"/>
  <c r="I41" i="1"/>
  <c r="I39" i="1"/>
  <c r="I44" i="1"/>
  <c r="I46" i="1"/>
  <c r="I48" i="1"/>
  <c r="I68" i="1"/>
  <c r="J4" i="1"/>
  <c r="J6" i="1"/>
  <c r="J25" i="1"/>
  <c r="J8" i="1"/>
  <c r="J26" i="1"/>
  <c r="J10" i="1"/>
  <c r="J27" i="1"/>
  <c r="I55" i="1"/>
  <c r="I57" i="1"/>
  <c r="J56" i="1"/>
  <c r="J28" i="1"/>
  <c r="J31" i="1"/>
  <c r="J35" i="1"/>
  <c r="J37" i="1"/>
  <c r="J38" i="1"/>
  <c r="J40" i="1"/>
  <c r="J41" i="1"/>
  <c r="J39" i="1"/>
  <c r="J44" i="1"/>
  <c r="J46" i="1"/>
  <c r="J48" i="1"/>
  <c r="J68" i="1"/>
  <c r="K4" i="1"/>
  <c r="K6" i="1"/>
  <c r="K25" i="1"/>
  <c r="K8" i="1"/>
  <c r="K26" i="1"/>
  <c r="K10" i="1"/>
  <c r="K27" i="1"/>
  <c r="J55" i="1"/>
  <c r="J57" i="1"/>
  <c r="K56" i="1"/>
  <c r="K28" i="1"/>
  <c r="K31" i="1"/>
  <c r="K35" i="1"/>
  <c r="K37" i="1"/>
  <c r="K38" i="1"/>
  <c r="K40" i="1"/>
  <c r="K41" i="1"/>
  <c r="K39" i="1"/>
  <c r="K44" i="1"/>
  <c r="K46" i="1"/>
  <c r="K48" i="1"/>
  <c r="K68" i="1"/>
  <c r="L4" i="1"/>
  <c r="L6" i="1"/>
  <c r="L25" i="1"/>
  <c r="L8" i="1"/>
  <c r="L26" i="1"/>
  <c r="L10" i="1"/>
  <c r="L27" i="1"/>
  <c r="K55" i="1"/>
  <c r="K57" i="1"/>
  <c r="L56" i="1"/>
  <c r="L28" i="1"/>
  <c r="L31" i="1"/>
  <c r="L35" i="1"/>
  <c r="L37" i="1"/>
  <c r="L38" i="1"/>
  <c r="L40" i="1"/>
  <c r="L41" i="1"/>
  <c r="L39" i="1"/>
  <c r="L44" i="1"/>
  <c r="L46" i="1"/>
  <c r="L48" i="1"/>
  <c r="L68" i="1"/>
  <c r="M4" i="1"/>
  <c r="M6" i="1"/>
  <c r="M25" i="1"/>
  <c r="M8" i="1"/>
  <c r="M26" i="1"/>
  <c r="M10" i="1"/>
  <c r="M27" i="1"/>
  <c r="L55" i="1"/>
  <c r="L57" i="1"/>
  <c r="M56" i="1"/>
  <c r="M28" i="1"/>
  <c r="M31" i="1"/>
  <c r="M35" i="1"/>
  <c r="M37" i="1"/>
  <c r="M38" i="1"/>
  <c r="M40" i="1"/>
  <c r="M41" i="1"/>
  <c r="M39" i="1"/>
  <c r="M44" i="1"/>
  <c r="M46" i="1"/>
  <c r="M48" i="1"/>
  <c r="M68" i="1"/>
  <c r="N4" i="1"/>
  <c r="N6" i="1"/>
  <c r="N25" i="1"/>
  <c r="N8" i="1"/>
  <c r="N26" i="1"/>
  <c r="N10" i="1"/>
  <c r="N27" i="1"/>
  <c r="M55" i="1"/>
  <c r="M57" i="1"/>
  <c r="N56" i="1"/>
  <c r="N28" i="1"/>
  <c r="N31" i="1"/>
  <c r="N35" i="1"/>
  <c r="N37" i="1"/>
  <c r="N38" i="1"/>
  <c r="N40" i="1"/>
  <c r="N41" i="1"/>
  <c r="N39" i="1"/>
  <c r="N44" i="1"/>
  <c r="N46" i="1"/>
  <c r="N48" i="1"/>
  <c r="N68" i="1"/>
  <c r="O4" i="1"/>
  <c r="O6" i="1"/>
  <c r="O25" i="1"/>
  <c r="O8" i="1"/>
  <c r="O26" i="1"/>
  <c r="O10" i="1"/>
  <c r="O27" i="1"/>
  <c r="N55" i="1"/>
  <c r="N57" i="1"/>
  <c r="O56" i="1"/>
  <c r="O28" i="1"/>
  <c r="O31" i="1"/>
  <c r="O35" i="1"/>
  <c r="O37" i="1"/>
  <c r="O38" i="1"/>
  <c r="O40" i="1"/>
  <c r="O41" i="1"/>
  <c r="O39" i="1"/>
  <c r="O44" i="1"/>
  <c r="O46" i="1"/>
  <c r="O48" i="1"/>
  <c r="O68" i="1"/>
  <c r="P4" i="1"/>
  <c r="P6" i="1"/>
  <c r="P25" i="1"/>
  <c r="P8" i="1"/>
  <c r="P26" i="1"/>
  <c r="P10" i="1"/>
  <c r="P27" i="1"/>
  <c r="O55" i="1"/>
  <c r="O57" i="1"/>
  <c r="P56" i="1"/>
  <c r="P28" i="1"/>
  <c r="P31" i="1"/>
  <c r="P35" i="1"/>
  <c r="P37" i="1"/>
  <c r="P38" i="1"/>
  <c r="P40" i="1"/>
  <c r="P41" i="1"/>
  <c r="P39" i="1"/>
  <c r="P44" i="1"/>
  <c r="P46" i="1"/>
  <c r="P48" i="1"/>
  <c r="P68" i="1"/>
  <c r="Q4" i="1"/>
  <c r="Q6" i="1"/>
  <c r="Q25" i="1"/>
  <c r="Q8" i="1"/>
  <c r="Q26" i="1"/>
  <c r="Q10" i="1"/>
  <c r="Q27" i="1"/>
  <c r="P55" i="1"/>
  <c r="P57" i="1"/>
  <c r="Q56" i="1"/>
  <c r="Q28" i="1"/>
  <c r="Q31" i="1"/>
  <c r="Q35" i="1"/>
  <c r="Q37" i="1"/>
  <c r="Q38" i="1"/>
  <c r="Q40" i="1"/>
  <c r="Q41" i="1"/>
  <c r="Q39" i="1"/>
  <c r="Q44" i="1"/>
  <c r="Q46" i="1"/>
  <c r="Q48" i="1"/>
  <c r="Q68" i="1"/>
  <c r="R4" i="1"/>
  <c r="R6" i="1"/>
  <c r="R25" i="1"/>
  <c r="R8" i="1"/>
  <c r="R26" i="1"/>
  <c r="R10" i="1"/>
  <c r="R27" i="1"/>
  <c r="Q55" i="1"/>
  <c r="Q57" i="1"/>
  <c r="R56" i="1"/>
  <c r="R28" i="1"/>
  <c r="R31" i="1"/>
  <c r="R35" i="1"/>
  <c r="R37" i="1"/>
  <c r="R38" i="1"/>
  <c r="R40" i="1"/>
  <c r="R41" i="1"/>
  <c r="R39" i="1"/>
  <c r="R44" i="1"/>
  <c r="R46" i="1"/>
  <c r="R48" i="1"/>
  <c r="R68" i="1"/>
  <c r="S4" i="1"/>
  <c r="S6" i="1"/>
  <c r="S25" i="1"/>
  <c r="S8" i="1"/>
  <c r="S26" i="1"/>
  <c r="S10" i="1"/>
  <c r="S27" i="1"/>
  <c r="R55" i="1"/>
  <c r="R57" i="1"/>
  <c r="S56" i="1"/>
  <c r="S28" i="1"/>
  <c r="S31" i="1"/>
  <c r="S35" i="1"/>
  <c r="S37" i="1"/>
  <c r="S38" i="1"/>
  <c r="S40" i="1"/>
  <c r="S41" i="1"/>
  <c r="S39" i="1"/>
  <c r="S44" i="1"/>
  <c r="S46" i="1"/>
  <c r="S48" i="1"/>
  <c r="S68" i="1"/>
  <c r="T4" i="1"/>
  <c r="T6" i="1"/>
  <c r="T25" i="1"/>
  <c r="T8" i="1"/>
  <c r="T26" i="1"/>
  <c r="T10" i="1"/>
  <c r="T27" i="1"/>
  <c r="S55" i="1"/>
  <c r="S57" i="1"/>
  <c r="T56" i="1"/>
  <c r="T28" i="1"/>
  <c r="T31" i="1"/>
  <c r="T35" i="1"/>
  <c r="T37" i="1"/>
  <c r="T38" i="1"/>
  <c r="T40" i="1"/>
  <c r="T41" i="1"/>
  <c r="T39" i="1"/>
  <c r="T44" i="1"/>
  <c r="T46" i="1"/>
  <c r="T48" i="1"/>
  <c r="T68" i="1"/>
  <c r="U4" i="1"/>
  <c r="U6" i="1"/>
  <c r="U25" i="1"/>
  <c r="U8" i="1"/>
  <c r="U26" i="1"/>
  <c r="U10" i="1"/>
  <c r="U27" i="1"/>
  <c r="T55" i="1"/>
  <c r="T57" i="1"/>
  <c r="U56" i="1"/>
  <c r="U28" i="1"/>
  <c r="U31" i="1"/>
  <c r="U35" i="1"/>
  <c r="U37" i="1"/>
  <c r="U38" i="1"/>
  <c r="U40" i="1"/>
  <c r="U41" i="1"/>
  <c r="U39" i="1"/>
  <c r="U44" i="1"/>
  <c r="U46" i="1"/>
  <c r="U48" i="1"/>
  <c r="U68" i="1"/>
  <c r="V4" i="1"/>
  <c r="V6" i="1"/>
  <c r="V25" i="1"/>
  <c r="V8" i="1"/>
  <c r="V26" i="1"/>
  <c r="V10" i="1"/>
  <c r="V27" i="1"/>
  <c r="U55" i="1"/>
  <c r="U57" i="1"/>
  <c r="V56" i="1"/>
  <c r="V28" i="1"/>
  <c r="V31" i="1"/>
  <c r="V35" i="1"/>
  <c r="V37" i="1"/>
  <c r="V38" i="1"/>
  <c r="V40" i="1"/>
  <c r="V41" i="1"/>
  <c r="V39" i="1"/>
  <c r="V44" i="1"/>
  <c r="V46" i="1"/>
  <c r="V48" i="1"/>
  <c r="V68" i="1"/>
  <c r="W4" i="1"/>
  <c r="W6" i="1"/>
  <c r="W25" i="1"/>
  <c r="W8" i="1"/>
  <c r="W26" i="1"/>
  <c r="W10" i="1"/>
  <c r="W27" i="1"/>
  <c r="V55" i="1"/>
  <c r="V57" i="1"/>
  <c r="W56" i="1"/>
  <c r="W28" i="1"/>
  <c r="W31" i="1"/>
  <c r="W35" i="1"/>
  <c r="W37" i="1"/>
  <c r="W38" i="1"/>
  <c r="W40" i="1"/>
  <c r="W41" i="1"/>
  <c r="W39" i="1"/>
  <c r="W44" i="1"/>
  <c r="W46" i="1"/>
  <c r="W48" i="1"/>
  <c r="W68" i="1"/>
  <c r="X4" i="1"/>
  <c r="X6" i="1"/>
  <c r="X25" i="1"/>
  <c r="X8" i="1"/>
  <c r="X26" i="1"/>
  <c r="X10" i="1"/>
  <c r="X27" i="1"/>
  <c r="W55" i="1"/>
  <c r="W57" i="1"/>
  <c r="X56" i="1"/>
  <c r="X28" i="1"/>
  <c r="X31" i="1"/>
  <c r="X35" i="1"/>
  <c r="X37" i="1"/>
  <c r="X38" i="1"/>
  <c r="X40" i="1"/>
  <c r="X41" i="1"/>
  <c r="X39" i="1"/>
  <c r="X44" i="1"/>
  <c r="X46" i="1"/>
  <c r="X48" i="1"/>
  <c r="X68" i="1"/>
  <c r="Y4" i="1"/>
  <c r="Y6" i="1"/>
  <c r="Y25" i="1"/>
  <c r="Y8" i="1"/>
  <c r="Y26" i="1"/>
  <c r="Y10" i="1"/>
  <c r="Y27" i="1"/>
  <c r="X55" i="1"/>
  <c r="X57" i="1"/>
  <c r="Y56" i="1"/>
  <c r="Y28" i="1"/>
  <c r="Y31" i="1"/>
  <c r="Y35" i="1"/>
  <c r="Y37" i="1"/>
  <c r="Y38" i="1"/>
  <c r="Y40" i="1"/>
  <c r="Y41" i="1"/>
  <c r="Y39" i="1"/>
  <c r="Y44" i="1"/>
  <c r="Y46" i="1"/>
  <c r="Y48" i="1"/>
  <c r="Y68" i="1"/>
  <c r="Z4" i="1"/>
  <c r="Z6" i="1"/>
  <c r="Z25" i="1"/>
  <c r="Z8" i="1"/>
  <c r="Z26" i="1"/>
  <c r="Z10" i="1"/>
  <c r="Z27" i="1"/>
  <c r="Y55" i="1"/>
  <c r="Y57" i="1"/>
  <c r="Z56" i="1"/>
  <c r="Z28" i="1"/>
  <c r="Z31" i="1"/>
  <c r="Z35" i="1"/>
  <c r="Z37" i="1"/>
  <c r="Z38" i="1"/>
  <c r="Z40" i="1"/>
  <c r="Z41" i="1"/>
  <c r="Z39" i="1"/>
  <c r="Z44" i="1"/>
  <c r="Z46" i="1"/>
  <c r="Z48" i="1"/>
  <c r="Z68" i="1"/>
  <c r="AA4" i="1"/>
  <c r="AA6" i="1"/>
  <c r="AA25" i="1"/>
  <c r="AA8" i="1"/>
  <c r="AA26" i="1"/>
  <c r="AA10" i="1"/>
  <c r="AA27" i="1"/>
  <c r="Z55" i="1"/>
  <c r="Z57" i="1"/>
  <c r="AA56" i="1"/>
  <c r="AA28" i="1"/>
  <c r="AA31" i="1"/>
  <c r="AA35" i="1"/>
  <c r="AA37" i="1"/>
  <c r="AA38" i="1"/>
  <c r="AA40" i="1"/>
  <c r="AA41" i="1"/>
  <c r="AA39" i="1"/>
  <c r="AA44" i="1"/>
  <c r="AA46" i="1"/>
  <c r="AA48" i="1"/>
  <c r="AA68" i="1"/>
  <c r="AB4" i="1"/>
  <c r="AB6" i="1"/>
  <c r="AB25" i="1"/>
  <c r="AB8" i="1"/>
  <c r="AB26" i="1"/>
  <c r="AB10" i="1"/>
  <c r="AB27" i="1"/>
  <c r="AA55" i="1"/>
  <c r="AA57" i="1"/>
  <c r="AB56" i="1"/>
  <c r="AB28" i="1"/>
  <c r="AB31" i="1"/>
  <c r="AB35" i="1"/>
  <c r="AB37" i="1"/>
  <c r="AB38" i="1"/>
  <c r="AB40" i="1"/>
  <c r="AB41" i="1"/>
  <c r="AB39" i="1"/>
  <c r="AB44" i="1"/>
  <c r="AB46" i="1"/>
  <c r="AB48" i="1"/>
  <c r="AB68" i="1"/>
  <c r="AC4" i="1"/>
  <c r="AC6" i="1"/>
  <c r="AC25" i="1"/>
  <c r="AC8" i="1"/>
  <c r="AC26" i="1"/>
  <c r="AC10" i="1"/>
  <c r="AC27" i="1"/>
  <c r="AB55" i="1"/>
  <c r="AB57" i="1"/>
  <c r="AC56" i="1"/>
  <c r="AC28" i="1"/>
  <c r="AC31" i="1"/>
  <c r="AC35" i="1"/>
  <c r="AC37" i="1"/>
  <c r="AC38" i="1"/>
  <c r="AC40" i="1"/>
  <c r="AC41" i="1"/>
  <c r="AC39" i="1"/>
  <c r="AC44" i="1"/>
  <c r="AC46" i="1"/>
  <c r="AC48" i="1"/>
  <c r="AC68" i="1"/>
  <c r="AD4" i="1"/>
  <c r="AD6" i="1"/>
  <c r="AD25" i="1"/>
  <c r="AD8" i="1"/>
  <c r="AD26" i="1"/>
  <c r="AD10" i="1"/>
  <c r="AD27" i="1"/>
  <c r="AC55" i="1"/>
  <c r="AC57" i="1"/>
  <c r="AD56" i="1"/>
  <c r="AD28" i="1"/>
  <c r="AD31" i="1"/>
  <c r="AD35" i="1"/>
  <c r="AD37" i="1"/>
  <c r="AD38" i="1"/>
  <c r="AD40" i="1"/>
  <c r="AD41" i="1"/>
  <c r="AD39" i="1"/>
  <c r="AD44" i="1"/>
  <c r="AD46" i="1"/>
  <c r="AD48" i="1"/>
  <c r="AD68" i="1"/>
  <c r="AE4" i="1"/>
  <c r="AE6" i="1"/>
  <c r="AE25" i="1"/>
  <c r="AE8" i="1"/>
  <c r="AE26" i="1"/>
  <c r="AE10" i="1"/>
  <c r="AE27" i="1"/>
  <c r="AD55" i="1"/>
  <c r="AD57" i="1"/>
  <c r="AE56" i="1"/>
  <c r="AE28" i="1"/>
  <c r="AE31" i="1"/>
  <c r="AE35" i="1"/>
  <c r="AE37" i="1"/>
  <c r="AE38" i="1"/>
  <c r="AE40" i="1"/>
  <c r="AE41" i="1"/>
  <c r="AE39" i="1"/>
  <c r="AE44" i="1"/>
  <c r="AE46" i="1"/>
  <c r="AE48" i="1"/>
  <c r="AE68" i="1"/>
  <c r="AF4" i="1"/>
  <c r="AF6" i="1"/>
  <c r="AF25" i="1"/>
  <c r="AF8" i="1"/>
  <c r="AF26" i="1"/>
  <c r="AF10" i="1"/>
  <c r="AF27" i="1"/>
  <c r="AE55" i="1"/>
  <c r="AE57" i="1"/>
  <c r="AF56" i="1"/>
  <c r="AF28" i="1"/>
  <c r="AF31" i="1"/>
  <c r="AF35" i="1"/>
  <c r="AF37" i="1"/>
  <c r="AF38" i="1"/>
  <c r="AF40" i="1"/>
  <c r="AF41" i="1"/>
  <c r="AF39" i="1"/>
  <c r="AF44" i="1"/>
  <c r="AF46" i="1"/>
  <c r="AF48" i="1"/>
  <c r="AF68" i="1"/>
  <c r="AG4" i="1"/>
  <c r="AG6" i="1"/>
  <c r="AG25" i="1"/>
  <c r="AG8" i="1"/>
  <c r="AG26" i="1"/>
  <c r="AG10" i="1"/>
  <c r="AG27" i="1"/>
  <c r="AF55" i="1"/>
  <c r="AF57" i="1"/>
  <c r="AG56" i="1"/>
  <c r="AG28" i="1"/>
  <c r="AG31" i="1"/>
  <c r="AG35" i="1"/>
  <c r="AG37" i="1"/>
  <c r="AG38" i="1"/>
  <c r="AG40" i="1"/>
  <c r="AG41" i="1"/>
  <c r="AG39" i="1"/>
  <c r="AG44" i="1"/>
  <c r="AG46" i="1"/>
  <c r="AG48" i="1"/>
  <c r="AG68" i="1"/>
  <c r="AH4" i="1"/>
  <c r="AH6" i="1"/>
  <c r="AH25" i="1"/>
  <c r="AH8" i="1"/>
  <c r="AH26" i="1"/>
  <c r="AH10" i="1"/>
  <c r="AH27" i="1"/>
  <c r="AG55" i="1"/>
  <c r="AG57" i="1"/>
  <c r="AH56" i="1"/>
  <c r="AH28" i="1"/>
  <c r="AH31" i="1"/>
  <c r="AH35" i="1"/>
  <c r="AH37" i="1"/>
  <c r="AH38" i="1"/>
  <c r="AH40" i="1"/>
  <c r="AH41" i="1"/>
  <c r="AH39" i="1"/>
  <c r="AH44" i="1"/>
  <c r="AH46" i="1"/>
  <c r="AH48" i="1"/>
  <c r="AH68" i="1"/>
  <c r="D68" i="1"/>
  <c r="B68" i="1"/>
  <c r="E28" i="1"/>
  <c r="E35" i="1"/>
  <c r="E36" i="1"/>
  <c r="E38" i="1"/>
  <c r="E40" i="1"/>
  <c r="E41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E46" i="6"/>
  <c r="E51" i="6"/>
  <c r="F46" i="6"/>
  <c r="F51" i="6"/>
  <c r="G46" i="6"/>
  <c r="G51" i="6"/>
  <c r="H46" i="6"/>
  <c r="H51" i="6"/>
  <c r="I46" i="6"/>
  <c r="I51" i="6"/>
  <c r="J46" i="6"/>
  <c r="J51" i="6"/>
  <c r="K46" i="6"/>
  <c r="K51" i="6"/>
  <c r="L46" i="6"/>
  <c r="L51" i="6"/>
  <c r="M46" i="6"/>
  <c r="M51" i="6"/>
  <c r="N46" i="6"/>
  <c r="N51" i="6"/>
  <c r="O46" i="6"/>
  <c r="O51" i="6"/>
  <c r="P46" i="6"/>
  <c r="P51" i="6"/>
  <c r="Q46" i="6"/>
  <c r="Q51" i="6"/>
  <c r="R46" i="6"/>
  <c r="R51" i="6"/>
  <c r="S46" i="6"/>
  <c r="S51" i="6"/>
  <c r="T46" i="6"/>
  <c r="T51" i="6"/>
  <c r="U46" i="6"/>
  <c r="U51" i="6"/>
  <c r="V46" i="6"/>
  <c r="V51" i="6"/>
  <c r="W46" i="6"/>
  <c r="W51" i="6"/>
  <c r="X46" i="6"/>
  <c r="X51" i="6"/>
  <c r="Y46" i="6"/>
  <c r="Y51" i="6"/>
  <c r="Z46" i="6"/>
  <c r="Z51" i="6"/>
  <c r="AA46" i="6"/>
  <c r="AA51" i="6"/>
  <c r="AB46" i="6"/>
  <c r="AB51" i="6"/>
  <c r="AC46" i="6"/>
  <c r="AC51" i="6"/>
  <c r="AD46" i="6"/>
  <c r="AD51" i="6"/>
  <c r="AE46" i="6"/>
  <c r="AE51" i="6"/>
  <c r="AF46" i="6"/>
  <c r="AF51" i="6"/>
  <c r="AG46" i="6"/>
  <c r="AG51" i="6"/>
  <c r="AH46" i="6"/>
  <c r="AH51" i="6"/>
  <c r="B53" i="6"/>
  <c r="B45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B46" i="6"/>
  <c r="B47" i="6"/>
  <c r="B48" i="6"/>
  <c r="B49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AA61" i="6"/>
  <c r="AB61" i="6"/>
  <c r="AC61" i="6"/>
  <c r="AD61" i="6"/>
  <c r="AE61" i="6"/>
  <c r="AF61" i="6"/>
  <c r="AG61" i="6"/>
  <c r="AH61" i="6"/>
  <c r="E34" i="6"/>
  <c r="E35" i="6"/>
  <c r="E37" i="6"/>
  <c r="E39" i="6"/>
  <c r="E40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B51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B50" i="6"/>
  <c r="Y35" i="6"/>
  <c r="Z35" i="6"/>
  <c r="AA35" i="6"/>
  <c r="AB35" i="6"/>
  <c r="AC35" i="6"/>
  <c r="AD35" i="6"/>
  <c r="AE35" i="6"/>
  <c r="AF35" i="6"/>
  <c r="AG35" i="6"/>
  <c r="AH35" i="6"/>
  <c r="D61" i="6"/>
  <c r="B61" i="6"/>
  <c r="E54" i="6"/>
  <c r="E56" i="6"/>
  <c r="F54" i="6"/>
  <c r="F55" i="6"/>
  <c r="F56" i="6"/>
  <c r="G54" i="6"/>
  <c r="G55" i="6"/>
  <c r="G56" i="6"/>
  <c r="H54" i="6"/>
  <c r="H55" i="6"/>
  <c r="H56" i="6"/>
  <c r="I54" i="6"/>
  <c r="I55" i="6"/>
  <c r="I56" i="6"/>
  <c r="J54" i="6"/>
  <c r="J55" i="6"/>
  <c r="J56" i="6"/>
  <c r="K54" i="6"/>
  <c r="K55" i="6"/>
  <c r="K56" i="6"/>
  <c r="L54" i="6"/>
  <c r="L55" i="6"/>
  <c r="L56" i="6"/>
  <c r="M54" i="6"/>
  <c r="M55" i="6"/>
  <c r="M56" i="6"/>
  <c r="N54" i="6"/>
  <c r="N55" i="6"/>
  <c r="N56" i="6"/>
  <c r="O54" i="6"/>
  <c r="O55" i="6"/>
  <c r="O56" i="6"/>
  <c r="P54" i="6"/>
  <c r="P55" i="6"/>
  <c r="P56" i="6"/>
  <c r="Q54" i="6"/>
  <c r="Q55" i="6"/>
  <c r="Q56" i="6"/>
  <c r="R54" i="6"/>
  <c r="R55" i="6"/>
  <c r="R56" i="6"/>
  <c r="S54" i="6"/>
  <c r="S55" i="6"/>
  <c r="S56" i="6"/>
  <c r="T54" i="6"/>
  <c r="T55" i="6"/>
  <c r="T56" i="6"/>
  <c r="U54" i="6"/>
  <c r="U55" i="6"/>
  <c r="U56" i="6"/>
  <c r="V54" i="6"/>
  <c r="V55" i="6"/>
  <c r="V56" i="6"/>
  <c r="W54" i="6"/>
  <c r="W55" i="6"/>
  <c r="W56" i="6"/>
  <c r="X54" i="6"/>
  <c r="X55" i="6"/>
  <c r="X56" i="6"/>
  <c r="Y54" i="6"/>
  <c r="Y55" i="6"/>
  <c r="Y56" i="6"/>
  <c r="Z54" i="6"/>
  <c r="Z55" i="6"/>
  <c r="Z56" i="6"/>
  <c r="AA54" i="6"/>
  <c r="AA55" i="6"/>
  <c r="AA56" i="6"/>
  <c r="AB54" i="6"/>
  <c r="AB55" i="6"/>
  <c r="AB56" i="6"/>
  <c r="AC54" i="6"/>
  <c r="AC55" i="6"/>
  <c r="AC56" i="6"/>
  <c r="AD54" i="6"/>
  <c r="AD55" i="6"/>
  <c r="AD56" i="6"/>
  <c r="AE54" i="6"/>
  <c r="AE55" i="6"/>
  <c r="AE56" i="6"/>
  <c r="AF54" i="6"/>
  <c r="AF55" i="6"/>
  <c r="AF56" i="6"/>
  <c r="AG54" i="6"/>
  <c r="AG55" i="6"/>
  <c r="AG56" i="6"/>
  <c r="AH54" i="6"/>
  <c r="AH55" i="6"/>
  <c r="AH56" i="6"/>
  <c r="D55" i="6"/>
  <c r="D49" i="6"/>
  <c r="D47" i="6"/>
  <c r="B34" i="6"/>
  <c r="B35" i="6"/>
  <c r="B36" i="6"/>
  <c r="B37" i="6"/>
  <c r="B38" i="6"/>
  <c r="B39" i="6"/>
  <c r="B40" i="6"/>
  <c r="B41" i="6"/>
  <c r="B42" i="6"/>
  <c r="B43" i="6"/>
  <c r="A42" i="6"/>
  <c r="D33" i="6"/>
  <c r="A33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B25" i="6"/>
  <c r="B26" i="6"/>
  <c r="B27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B28" i="6"/>
  <c r="B29" i="6"/>
  <c r="B30" i="6"/>
  <c r="A29" i="6"/>
  <c r="A24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11" i="6"/>
  <c r="D9" i="6"/>
  <c r="D7" i="6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B46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B47" i="1"/>
  <c r="B48" i="1"/>
  <c r="B49" i="1"/>
  <c r="B50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E67" i="1"/>
  <c r="D67" i="1"/>
  <c r="B67" i="1"/>
  <c r="E61" i="1"/>
  <c r="E63" i="1"/>
  <c r="F61" i="1"/>
  <c r="F62" i="1"/>
  <c r="F63" i="1"/>
  <c r="G61" i="1"/>
  <c r="G62" i="1"/>
  <c r="G63" i="1"/>
  <c r="H62" i="1"/>
  <c r="H61" i="1"/>
  <c r="H63" i="1"/>
  <c r="I62" i="1"/>
  <c r="I61" i="1"/>
  <c r="I63" i="1"/>
  <c r="J62" i="1"/>
  <c r="J61" i="1"/>
  <c r="J63" i="1"/>
  <c r="K62" i="1"/>
  <c r="K61" i="1"/>
  <c r="K63" i="1"/>
  <c r="L62" i="1"/>
  <c r="L61" i="1"/>
  <c r="L63" i="1"/>
  <c r="M62" i="1"/>
  <c r="M61" i="1"/>
  <c r="M63" i="1"/>
  <c r="N62" i="1"/>
  <c r="N61" i="1"/>
  <c r="N63" i="1"/>
  <c r="O62" i="1"/>
  <c r="O61" i="1"/>
  <c r="O63" i="1"/>
  <c r="P62" i="1"/>
  <c r="P61" i="1"/>
  <c r="P63" i="1"/>
  <c r="Q62" i="1"/>
  <c r="Q61" i="1"/>
  <c r="Q63" i="1"/>
  <c r="R62" i="1"/>
  <c r="R61" i="1"/>
  <c r="R63" i="1"/>
  <c r="S62" i="1"/>
  <c r="S61" i="1"/>
  <c r="S63" i="1"/>
  <c r="T62" i="1"/>
  <c r="T61" i="1"/>
  <c r="T63" i="1"/>
  <c r="U62" i="1"/>
  <c r="U61" i="1"/>
  <c r="U63" i="1"/>
  <c r="V62" i="1"/>
  <c r="V61" i="1"/>
  <c r="V63" i="1"/>
  <c r="W62" i="1"/>
  <c r="W61" i="1"/>
  <c r="W63" i="1"/>
  <c r="X62" i="1"/>
  <c r="X61" i="1"/>
  <c r="X63" i="1"/>
  <c r="Y62" i="1"/>
  <c r="Y61" i="1"/>
  <c r="Y63" i="1"/>
  <c r="Z62" i="1"/>
  <c r="Z61" i="1"/>
  <c r="Z63" i="1"/>
  <c r="AA62" i="1"/>
  <c r="AA61" i="1"/>
  <c r="AA63" i="1"/>
  <c r="AB62" i="1"/>
  <c r="AB61" i="1"/>
  <c r="AB63" i="1"/>
  <c r="AC62" i="1"/>
  <c r="AC61" i="1"/>
  <c r="AC63" i="1"/>
  <c r="AD62" i="1"/>
  <c r="AD61" i="1"/>
  <c r="AD63" i="1"/>
  <c r="AE62" i="1"/>
  <c r="AE61" i="1"/>
  <c r="AE63" i="1"/>
  <c r="AF62" i="1"/>
  <c r="AF61" i="1"/>
  <c r="AF63" i="1"/>
  <c r="AG62" i="1"/>
  <c r="AG61" i="1"/>
  <c r="AG63" i="1"/>
  <c r="AH62" i="1"/>
  <c r="AH61" i="1"/>
  <c r="AH63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E51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E49" i="1"/>
  <c r="B52" i="1"/>
  <c r="B51" i="1"/>
  <c r="B35" i="1"/>
  <c r="B36" i="1"/>
  <c r="B37" i="1"/>
  <c r="B38" i="1"/>
  <c r="B39" i="1"/>
  <c r="B40" i="1"/>
  <c r="B41" i="1"/>
  <c r="B42" i="1"/>
  <c r="B43" i="1"/>
  <c r="B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B29" i="1"/>
  <c r="B25" i="1"/>
  <c r="B26" i="1"/>
  <c r="B27" i="1"/>
  <c r="B30" i="1"/>
  <c r="D62" i="1"/>
  <c r="B31" i="1"/>
  <c r="B44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E32" i="1"/>
  <c r="D56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E21" i="1"/>
  <c r="AH55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E47" i="1"/>
  <c r="A30" i="1"/>
  <c r="A43" i="1"/>
  <c r="A34" i="1"/>
  <c r="A24" i="1"/>
  <c r="D34" i="1"/>
  <c r="D50" i="1"/>
  <c r="D48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H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D11" i="1"/>
  <c r="D9" i="1"/>
  <c r="D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 Pinho</author>
  </authors>
  <commentList>
    <comment ref="D2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Andre Pinho:</t>
        </r>
        <r>
          <rPr>
            <sz val="9"/>
            <color indexed="81"/>
            <rFont val="Tahoma"/>
            <family val="2"/>
          </rPr>
          <t xml:space="preserve">
Example inverter interest</t>
        </r>
      </text>
    </comment>
    <comment ref="D35" authorId="0" shapeId="0" xr:uid="{D0547407-3374-4D67-B670-AA9FAFCB1D39}">
      <text>
        <r>
          <rPr>
            <b/>
            <sz val="9"/>
            <color indexed="81"/>
            <rFont val="Tahoma"/>
            <family val="2"/>
          </rPr>
          <t>Andre Pinho:</t>
        </r>
        <r>
          <rPr>
            <sz val="9"/>
            <color indexed="81"/>
            <rFont val="Tahoma"/>
            <family val="2"/>
          </rPr>
          <t xml:space="preserve">
~1-2% of install costs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 Pinho</author>
    <author>tc={19F803FE-1454-40BD-8395-E298D551DC3D}</author>
  </authors>
  <commentList>
    <comment ref="D28" authorId="0" shapeId="0" xr:uid="{FBC7D82B-4876-4597-89CA-6F3F27A40401}">
      <text>
        <r>
          <rPr>
            <b/>
            <sz val="9"/>
            <color indexed="81"/>
            <rFont val="Tahoma"/>
            <family val="2"/>
          </rPr>
          <t>Andre Pinho:</t>
        </r>
        <r>
          <rPr>
            <sz val="9"/>
            <color indexed="81"/>
            <rFont val="Tahoma"/>
            <family val="2"/>
          </rPr>
          <t xml:space="preserve">
Example inverter interest</t>
        </r>
      </text>
    </comment>
    <comment ref="D34" authorId="0" shapeId="0" xr:uid="{BA16C8E8-54E1-4ACF-A516-542B1B0D6F25}">
      <text>
        <r>
          <rPr>
            <b/>
            <sz val="9"/>
            <color indexed="81"/>
            <rFont val="Tahoma"/>
            <family val="2"/>
          </rPr>
          <t>Andre Pinho:</t>
        </r>
        <r>
          <rPr>
            <sz val="9"/>
            <color indexed="81"/>
            <rFont val="Tahoma"/>
            <family val="2"/>
          </rPr>
          <t xml:space="preserve">
~1-2% of install costs</t>
        </r>
      </text>
    </comment>
    <comment ref="B49" authorId="1" shapeId="0" xr:uid="{19F803FE-1454-40BD-8395-E298D551DC3D}">
      <text>
        <t>[Threaded comment]
Your version of Excel allows you to read this threaded comment; however, any edits to it will get removed if the file is opened in a newer version of Excel. Learn more: https://go.microsoft.com/fwlink/?linkid=870924
Comment:
    Weighted average is a much better representation of real return. Also note that Community Benefit Societies are limited to paying out 5% interest on existing (outstanding) shares, which means this model in its current form is not possible for a community benefit society.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 Pinho</author>
  </authors>
  <commentList>
    <comment ref="D28" authorId="0" shapeId="0" xr:uid="{1EF69AE1-B054-4896-85F4-E160B31528AE}">
      <text>
        <r>
          <rPr>
            <b/>
            <sz val="9"/>
            <color indexed="81"/>
            <rFont val="Tahoma"/>
            <family val="2"/>
          </rPr>
          <t>Andre Pinho:</t>
        </r>
        <r>
          <rPr>
            <sz val="9"/>
            <color indexed="81"/>
            <rFont val="Tahoma"/>
            <family val="2"/>
          </rPr>
          <t xml:space="preserve">
Example inverter interest</t>
        </r>
      </text>
    </comment>
    <comment ref="D39" authorId="0" shapeId="0" xr:uid="{97854EE2-A1EC-4543-A741-4D166388FFCC}">
      <text>
        <r>
          <rPr>
            <b/>
            <sz val="9"/>
            <color indexed="81"/>
            <rFont val="Tahoma"/>
            <family val="2"/>
          </rPr>
          <t>Andre Pinho:</t>
        </r>
        <r>
          <rPr>
            <sz val="9"/>
            <color indexed="81"/>
            <rFont val="Tahoma"/>
            <family val="2"/>
          </rPr>
          <t xml:space="preserve">
~1-2% of install costs</t>
        </r>
      </text>
    </comment>
  </commentList>
</comments>
</file>

<file path=xl/sharedStrings.xml><?xml version="1.0" encoding="utf-8"?>
<sst xmlns="http://schemas.openxmlformats.org/spreadsheetml/2006/main" count="239" uniqueCount="79">
  <si>
    <t>Year</t>
  </si>
  <si>
    <t>Size of array (kWp)</t>
  </si>
  <si>
    <t>kWh Generated</t>
  </si>
  <si>
    <t>Degradation @ 1%</t>
  </si>
  <si>
    <t>FIT</t>
  </si>
  <si>
    <t>Generation Tariff (FiT)</t>
  </si>
  <si>
    <t>Onsite usage</t>
  </si>
  <si>
    <t>Export to grid</t>
  </si>
  <si>
    <t>Installation &amp; meter costs</t>
  </si>
  <si>
    <t>Export Tariff</t>
  </si>
  <si>
    <t xml:space="preserve">Total share offer </t>
  </si>
  <si>
    <r>
      <t>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savings (tonnes)</t>
    </r>
  </si>
  <si>
    <t>Generation Income</t>
  </si>
  <si>
    <t>SoE Income</t>
  </si>
  <si>
    <t>Export Income</t>
  </si>
  <si>
    <t>Other Income</t>
  </si>
  <si>
    <t>Yearly average</t>
  </si>
  <si>
    <t>Total Income</t>
  </si>
  <si>
    <t>Inverter</t>
  </si>
  <si>
    <t xml:space="preserve"> Export meter</t>
  </si>
  <si>
    <t>Capital repayment</t>
  </si>
  <si>
    <t>Capital Repayment</t>
  </si>
  <si>
    <t>Insurance</t>
  </si>
  <si>
    <t>Business rates</t>
  </si>
  <si>
    <t>Admin &amp; Maintenance</t>
  </si>
  <si>
    <t>Disbursements</t>
  </si>
  <si>
    <t>Total costs</t>
  </si>
  <si>
    <t>Total Dividends</t>
  </si>
  <si>
    <t>Annual Profit</t>
  </si>
  <si>
    <t>ROI</t>
  </si>
  <si>
    <t>Total payments</t>
  </si>
  <si>
    <t>Average Annual ROI</t>
  </si>
  <si>
    <t>Shareholders ROI</t>
  </si>
  <si>
    <t>CEEF ROI</t>
  </si>
  <si>
    <t>A/C balance</t>
  </si>
  <si>
    <t>Yield (kWh/kWp)</t>
  </si>
  <si>
    <t>Setup Costs</t>
  </si>
  <si>
    <t>Capital Left to Pay</t>
  </si>
  <si>
    <t>Other Costs</t>
  </si>
  <si>
    <t>Capital Repayment Int</t>
  </si>
  <si>
    <t>Inverter Payouts</t>
  </si>
  <si>
    <t>Inverter Account</t>
  </si>
  <si>
    <t>Spent</t>
  </si>
  <si>
    <t>Income</t>
  </si>
  <si>
    <t xml:space="preserve">   Sale of Energy (SoE)</t>
  </si>
  <si>
    <t xml:space="preserve">   Export Income</t>
  </si>
  <si>
    <t xml:space="preserve">   Capital Repayment Interest</t>
  </si>
  <si>
    <t xml:space="preserve">   Other Income</t>
  </si>
  <si>
    <t>Export meter</t>
  </si>
  <si>
    <t>Investor IRR</t>
  </si>
  <si>
    <t>Onsite Tariff</t>
  </si>
  <si>
    <t>% donated to Community Fund</t>
  </si>
  <si>
    <t>FIT Inflation</t>
  </si>
  <si>
    <t>Onsite Inflation</t>
  </si>
  <si>
    <t>Export Inflation</t>
  </si>
  <si>
    <t>Install Price (£/kW)</t>
  </si>
  <si>
    <r>
      <t>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factor (kgCO2/kWh)</t>
    </r>
  </si>
  <si>
    <t>FINANCIAL PROJECTION PV - Community Energy</t>
  </si>
  <si>
    <t>Length of Project (Years)</t>
  </si>
  <si>
    <t>Total Community Fund</t>
  </si>
  <si>
    <t>Assumptions</t>
  </si>
  <si>
    <t xml:space="preserve">   Generation (FIT) Income</t>
  </si>
  <si>
    <t>Costs Inflation</t>
  </si>
  <si>
    <t>Interest on reserves</t>
  </si>
  <si>
    <t>Capital Repayment Reserves</t>
  </si>
  <si>
    <t>PV Output Annual Degradation</t>
  </si>
  <si>
    <t>Project IRR (includes C fund)</t>
  </si>
  <si>
    <t>Cashflow</t>
  </si>
  <si>
    <t>Internal Rate of Return (Capital end)</t>
  </si>
  <si>
    <t>Internal Rate of Return (capital over time)</t>
  </si>
  <si>
    <t>Weighted Average ROI</t>
  </si>
  <si>
    <t>Debt Costs</t>
  </si>
  <si>
    <t>Length (years)</t>
  </si>
  <si>
    <t>Loan Rate</t>
  </si>
  <si>
    <t>Loan Amount</t>
  </si>
  <si>
    <t>Loan Costs</t>
  </si>
  <si>
    <t xml:space="preserve">    Loan Repayment</t>
  </si>
  <si>
    <t xml:space="preserve">    Outstanding Loan</t>
  </si>
  <si>
    <t xml:space="preserve">    Loan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</si>
</sst>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&quot;£&quot;#,##0.0000"/>
    <numFmt numFmtId="165" formatCode="&quot;£&quot;#,##0"/>
    <numFmt numFmtId="166" formatCode="#,##0.0"/>
    <numFmt numFmtId="167" formatCode="&quot;£&quot;#,##0.00"/>
    <numFmt numFmtId="168" formatCode="&quot;£&quot;#,##0_);[Red]\(&quot;£&quot;#,##0\)"/>
    <numFmt numFmtId="169" formatCode="&quot;£&quot;#,##0.00_);[Red]\(&quot;£&quot;#,##0.00\)"/>
    <numFmt numFmtId="170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49F9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0925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2" borderId="0" xfId="1" applyFont="1" applyFill="1"/>
    <xf numFmtId="0" fontId="4" fillId="0" borderId="0" xfId="1" applyFont="1"/>
    <xf numFmtId="0" fontId="4" fillId="0" borderId="0" xfId="1" applyFont="1" applyAlignment="1">
      <alignment horizontal="center"/>
    </xf>
    <xf numFmtId="0" fontId="5" fillId="3" borderId="0" xfId="1" applyFont="1" applyFill="1"/>
    <xf numFmtId="0" fontId="5" fillId="3" borderId="0" xfId="1" applyFont="1" applyFill="1" applyAlignment="1">
      <alignment horizontal="right"/>
    </xf>
    <xf numFmtId="0" fontId="5" fillId="3" borderId="0" xfId="1" applyFont="1" applyFill="1" applyAlignment="1">
      <alignment horizontal="center"/>
    </xf>
    <xf numFmtId="3" fontId="4" fillId="3" borderId="0" xfId="2" applyNumberFormat="1" applyFont="1" applyFill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6" fillId="3" borderId="0" xfId="1" applyFont="1" applyFill="1" applyAlignment="1">
      <alignment horizontal="right"/>
    </xf>
    <xf numFmtId="9" fontId="4" fillId="3" borderId="0" xfId="3" applyNumberFormat="1" applyFont="1" applyFill="1" applyAlignment="1">
      <alignment horizontal="center"/>
    </xf>
    <xf numFmtId="9" fontId="4" fillId="0" borderId="0" xfId="1" applyNumberFormat="1" applyFont="1" applyAlignment="1">
      <alignment horizontal="center"/>
    </xf>
    <xf numFmtId="164" fontId="4" fillId="3" borderId="0" xfId="1" applyNumberFormat="1" applyFont="1" applyFill="1" applyAlignment="1">
      <alignment horizontal="center"/>
    </xf>
    <xf numFmtId="9" fontId="4" fillId="3" borderId="1" xfId="1" applyNumberFormat="1" applyFont="1" applyFill="1" applyBorder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65" fontId="4" fillId="3" borderId="2" xfId="1" applyNumberFormat="1" applyFont="1" applyFill="1" applyBorder="1" applyAlignment="1">
      <alignment horizontal="center"/>
    </xf>
    <xf numFmtId="166" fontId="4" fillId="3" borderId="0" xfId="2" applyNumberFormat="1" applyFont="1" applyFill="1" applyAlignment="1">
      <alignment horizontal="center"/>
    </xf>
    <xf numFmtId="0" fontId="5" fillId="4" borderId="0" xfId="1" applyFont="1" applyFill="1"/>
    <xf numFmtId="0" fontId="4" fillId="4" borderId="0" xfId="1" applyFont="1" applyFill="1" applyAlignment="1">
      <alignment horizontal="center"/>
    </xf>
    <xf numFmtId="0" fontId="4" fillId="4" borderId="0" xfId="1" applyFont="1" applyFill="1"/>
    <xf numFmtId="165" fontId="4" fillId="4" borderId="0" xfId="1" applyNumberFormat="1" applyFont="1" applyFill="1" applyAlignment="1">
      <alignment horizontal="center"/>
    </xf>
    <xf numFmtId="0" fontId="5" fillId="4" borderId="3" xfId="1" applyFont="1" applyFill="1" applyBorder="1" applyAlignment="1">
      <alignment horizontal="right"/>
    </xf>
    <xf numFmtId="165" fontId="5" fillId="4" borderId="3" xfId="1" applyNumberFormat="1" applyFont="1" applyFill="1" applyBorder="1" applyAlignment="1">
      <alignment horizontal="center"/>
    </xf>
    <xf numFmtId="0" fontId="5" fillId="0" borderId="0" xfId="1" applyFont="1"/>
    <xf numFmtId="0" fontId="4" fillId="4" borderId="4" xfId="1" applyFont="1" applyFill="1" applyBorder="1" applyAlignment="1">
      <alignment horizontal="right"/>
    </xf>
    <xf numFmtId="167" fontId="4" fillId="4" borderId="4" xfId="1" applyNumberFormat="1" applyFont="1" applyFill="1" applyBorder="1"/>
    <xf numFmtId="0" fontId="5" fillId="4" borderId="4" xfId="1" applyFont="1" applyFill="1" applyBorder="1"/>
    <xf numFmtId="168" fontId="5" fillId="4" borderId="4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left" indent="1"/>
    </xf>
    <xf numFmtId="168" fontId="4" fillId="0" borderId="0" xfId="1" applyNumberFormat="1" applyFont="1" applyFill="1" applyAlignment="1">
      <alignment horizontal="center"/>
    </xf>
    <xf numFmtId="0" fontId="5" fillId="5" borderId="0" xfId="1" applyFont="1" applyFill="1"/>
    <xf numFmtId="0" fontId="4" fillId="5" borderId="0" xfId="1" applyFont="1" applyFill="1"/>
    <xf numFmtId="0" fontId="4" fillId="5" borderId="0" xfId="1" applyFont="1" applyFill="1" applyAlignment="1">
      <alignment horizontal="center"/>
    </xf>
    <xf numFmtId="168" fontId="4" fillId="5" borderId="0" xfId="1" applyNumberFormat="1" applyFont="1" applyFill="1" applyAlignment="1">
      <alignment horizontal="center"/>
    </xf>
    <xf numFmtId="0" fontId="9" fillId="5" borderId="0" xfId="1" applyFont="1" applyFill="1" applyAlignment="1">
      <alignment horizontal="left" indent="1"/>
    </xf>
    <xf numFmtId="3" fontId="4" fillId="0" borderId="0" xfId="1" applyNumberFormat="1" applyFont="1" applyAlignment="1">
      <alignment horizontal="center"/>
    </xf>
    <xf numFmtId="0" fontId="5" fillId="5" borderId="3" xfId="1" applyFont="1" applyFill="1" applyBorder="1" applyAlignment="1">
      <alignment horizontal="right"/>
    </xf>
    <xf numFmtId="168" fontId="4" fillId="5" borderId="3" xfId="1" applyNumberFormat="1" applyFont="1" applyFill="1" applyBorder="1" applyAlignment="1">
      <alignment horizontal="center"/>
    </xf>
    <xf numFmtId="0" fontId="4" fillId="5" borderId="4" xfId="1" applyFont="1" applyFill="1" applyBorder="1" applyAlignment="1">
      <alignment horizontal="right"/>
    </xf>
    <xf numFmtId="169" fontId="4" fillId="5" borderId="4" xfId="1" applyNumberFormat="1" applyFont="1" applyFill="1" applyBorder="1"/>
    <xf numFmtId="0" fontId="5" fillId="6" borderId="4" xfId="1" applyFont="1" applyFill="1" applyBorder="1"/>
    <xf numFmtId="168" fontId="4" fillId="6" borderId="4" xfId="1" applyNumberFormat="1" applyFont="1" applyFill="1" applyBorder="1" applyAlignment="1">
      <alignment horizontal="center"/>
    </xf>
    <xf numFmtId="0" fontId="4" fillId="7" borderId="0" xfId="1" applyFont="1" applyFill="1"/>
    <xf numFmtId="167" fontId="4" fillId="7" borderId="0" xfId="1" applyNumberFormat="1" applyFont="1" applyFill="1" applyAlignment="1">
      <alignment horizontal="center"/>
    </xf>
    <xf numFmtId="0" fontId="5" fillId="8" borderId="4" xfId="1" applyFont="1" applyFill="1" applyBorder="1"/>
    <xf numFmtId="167" fontId="5" fillId="8" borderId="4" xfId="1" applyNumberFormat="1" applyFont="1" applyFill="1" applyBorder="1" applyAlignment="1">
      <alignment horizontal="center"/>
    </xf>
    <xf numFmtId="0" fontId="5" fillId="7" borderId="0" xfId="1" applyFont="1" applyFill="1"/>
    <xf numFmtId="10" fontId="4" fillId="7" borderId="0" xfId="3" applyNumberFormat="1" applyFont="1" applyFill="1" applyAlignment="1">
      <alignment horizontal="center"/>
    </xf>
    <xf numFmtId="0" fontId="5" fillId="7" borderId="3" xfId="1" applyFont="1" applyFill="1" applyBorder="1" applyAlignment="1">
      <alignment horizontal="right"/>
    </xf>
    <xf numFmtId="165" fontId="5" fillId="7" borderId="0" xfId="1" applyNumberFormat="1" applyFont="1" applyFill="1" applyBorder="1" applyAlignment="1">
      <alignment horizontal="center"/>
    </xf>
    <xf numFmtId="0" fontId="4" fillId="7" borderId="4" xfId="1" applyFont="1" applyFill="1" applyBorder="1" applyAlignment="1">
      <alignment horizontal="right"/>
    </xf>
    <xf numFmtId="169" fontId="4" fillId="7" borderId="4" xfId="1" applyNumberFormat="1" applyFont="1" applyFill="1" applyBorder="1"/>
    <xf numFmtId="0" fontId="4" fillId="7" borderId="5" xfId="1" applyFont="1" applyFill="1" applyBorder="1"/>
    <xf numFmtId="10" fontId="4" fillId="7" borderId="5" xfId="3" applyNumberFormat="1" applyFont="1" applyFill="1" applyBorder="1" applyAlignment="1">
      <alignment horizontal="center"/>
    </xf>
    <xf numFmtId="0" fontId="5" fillId="8" borderId="0" xfId="1" applyFont="1" applyFill="1"/>
    <xf numFmtId="10" fontId="4" fillId="8" borderId="0" xfId="3" applyNumberFormat="1" applyFont="1" applyFill="1" applyBorder="1" applyAlignment="1">
      <alignment horizontal="center"/>
    </xf>
    <xf numFmtId="0" fontId="4" fillId="8" borderId="0" xfId="1" applyFont="1" applyFill="1" applyAlignment="1">
      <alignment horizontal="left" indent="1"/>
    </xf>
    <xf numFmtId="0" fontId="5" fillId="9" borderId="0" xfId="1" applyFont="1" applyFill="1"/>
    <xf numFmtId="0" fontId="4" fillId="9" borderId="0" xfId="1" applyFont="1" applyFill="1"/>
    <xf numFmtId="165" fontId="4" fillId="9" borderId="0" xfId="1" applyNumberFormat="1" applyFont="1" applyFill="1" applyAlignment="1">
      <alignment horizontal="center"/>
    </xf>
    <xf numFmtId="0" fontId="6" fillId="9" borderId="0" xfId="1" applyFont="1" applyFill="1" applyAlignment="1">
      <alignment horizontal="right" indent="1"/>
    </xf>
    <xf numFmtId="167" fontId="4" fillId="9" borderId="0" xfId="1" applyNumberFormat="1" applyFont="1" applyFill="1" applyAlignment="1">
      <alignment horizontal="center"/>
    </xf>
    <xf numFmtId="0" fontId="1" fillId="0" borderId="0" xfId="1"/>
    <xf numFmtId="0" fontId="5" fillId="9" borderId="0" xfId="1" applyFont="1" applyFill="1" applyAlignment="1">
      <alignment horizontal="left" indent="1"/>
    </xf>
    <xf numFmtId="0" fontId="1" fillId="0" borderId="0" xfId="1" applyFont="1" applyFill="1"/>
    <xf numFmtId="0" fontId="1" fillId="0" borderId="0" xfId="1" applyFill="1"/>
    <xf numFmtId="167" fontId="4" fillId="0" borderId="0" xfId="1" applyNumberFormat="1" applyFont="1" applyFill="1" applyAlignment="1">
      <alignment horizontal="center"/>
    </xf>
    <xf numFmtId="0" fontId="4" fillId="0" borderId="0" xfId="1" applyFont="1" applyFill="1"/>
    <xf numFmtId="3" fontId="7" fillId="0" borderId="0" xfId="1" applyNumberFormat="1" applyFont="1" applyFill="1" applyAlignment="1">
      <alignment horizontal="center"/>
    </xf>
    <xf numFmtId="0" fontId="3" fillId="10" borderId="0" xfId="1" applyFont="1" applyFill="1"/>
    <xf numFmtId="0" fontId="1" fillId="10" borderId="0" xfId="1" applyFill="1"/>
    <xf numFmtId="165" fontId="1" fillId="10" borderId="0" xfId="1" applyNumberFormat="1" applyFill="1"/>
    <xf numFmtId="167" fontId="1" fillId="10" borderId="0" xfId="1" applyNumberFormat="1" applyFill="1"/>
    <xf numFmtId="10" fontId="1" fillId="10" borderId="0" xfId="4" applyNumberFormat="1" applyFill="1"/>
    <xf numFmtId="165" fontId="0" fillId="10" borderId="0" xfId="1" applyNumberFormat="1" applyFont="1" applyFill="1"/>
    <xf numFmtId="9" fontId="0" fillId="0" borderId="0" xfId="0" applyNumberFormat="1"/>
    <xf numFmtId="0" fontId="6" fillId="0" borderId="0" xfId="1" applyFont="1" applyFill="1" applyAlignment="1">
      <alignment horizontal="right"/>
    </xf>
    <xf numFmtId="164" fontId="4" fillId="0" borderId="0" xfId="1" applyNumberFormat="1" applyFont="1" applyFill="1" applyAlignment="1">
      <alignment horizontal="center"/>
    </xf>
    <xf numFmtId="9" fontId="4" fillId="3" borderId="6" xfId="1" applyNumberFormat="1" applyFont="1" applyFill="1" applyBorder="1" applyAlignment="1">
      <alignment horizontal="center"/>
    </xf>
    <xf numFmtId="0" fontId="4" fillId="3" borderId="2" xfId="1" applyNumberFormat="1" applyFont="1" applyFill="1" applyBorder="1" applyAlignment="1">
      <alignment horizontal="center"/>
    </xf>
    <xf numFmtId="0" fontId="4" fillId="11" borderId="0" xfId="1" applyFont="1" applyFill="1"/>
    <xf numFmtId="0" fontId="5" fillId="0" borderId="0" xfId="1" applyFont="1" applyFill="1" applyBorder="1"/>
    <xf numFmtId="164" fontId="5" fillId="3" borderId="0" xfId="1" applyNumberFormat="1" applyFont="1" applyFill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168" fontId="4" fillId="5" borderId="1" xfId="1" applyNumberFormat="1" applyFont="1" applyFill="1" applyBorder="1" applyAlignment="1">
      <alignment horizontal="center"/>
    </xf>
    <xf numFmtId="0" fontId="5" fillId="4" borderId="0" xfId="1" applyFont="1" applyFill="1" applyBorder="1"/>
    <xf numFmtId="0" fontId="4" fillId="0" borderId="0" xfId="1" applyFont="1" applyFill="1" applyBorder="1" applyAlignment="1">
      <alignment horizontal="right"/>
    </xf>
    <xf numFmtId="167" fontId="4" fillId="0" borderId="0" xfId="1" applyNumberFormat="1" applyFont="1" applyFill="1" applyBorder="1"/>
    <xf numFmtId="9" fontId="4" fillId="4" borderId="0" xfId="4" applyFont="1" applyFill="1" applyBorder="1" applyAlignment="1">
      <alignment horizontal="center"/>
    </xf>
    <xf numFmtId="165" fontId="3" fillId="10" borderId="0" xfId="1" applyNumberFormat="1" applyFont="1" applyFill="1"/>
    <xf numFmtId="167" fontId="4" fillId="7" borderId="5" xfId="1" applyNumberFormat="1" applyFont="1" applyFill="1" applyBorder="1" applyAlignment="1">
      <alignment horizontal="center"/>
    </xf>
    <xf numFmtId="0" fontId="12" fillId="11" borderId="0" xfId="1" applyFont="1" applyFill="1" applyBorder="1" applyAlignment="1">
      <alignment horizontal="center"/>
    </xf>
    <xf numFmtId="9" fontId="4" fillId="11" borderId="0" xfId="1" applyNumberFormat="1" applyFont="1" applyFill="1" applyBorder="1" applyAlignment="1">
      <alignment horizontal="center"/>
    </xf>
    <xf numFmtId="165" fontId="4" fillId="11" borderId="0" xfId="1" applyNumberFormat="1" applyFont="1" applyFill="1" applyBorder="1" applyAlignment="1">
      <alignment horizontal="center"/>
    </xf>
    <xf numFmtId="10" fontId="13" fillId="8" borderId="0" xfId="3" applyNumberFormat="1" applyFont="1" applyFill="1" applyBorder="1" applyAlignment="1">
      <alignment horizontal="center"/>
    </xf>
    <xf numFmtId="167" fontId="4" fillId="9" borderId="1" xfId="1" applyNumberFormat="1" applyFont="1" applyFill="1" applyBorder="1" applyAlignment="1">
      <alignment horizontal="center"/>
    </xf>
    <xf numFmtId="167" fontId="1" fillId="0" borderId="0" xfId="1" applyNumberFormat="1"/>
    <xf numFmtId="10" fontId="0" fillId="0" borderId="0" xfId="0" applyNumberFormat="1"/>
    <xf numFmtId="10" fontId="1" fillId="0" borderId="0" xfId="1" applyNumberFormat="1"/>
    <xf numFmtId="10" fontId="4" fillId="0" borderId="0" xfId="4" applyNumberFormat="1" applyFont="1"/>
    <xf numFmtId="10" fontId="4" fillId="0" borderId="0" xfId="4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70" fontId="4" fillId="3" borderId="1" xfId="1" applyNumberFormat="1" applyFont="1" applyFill="1" applyBorder="1" applyAlignment="1">
      <alignment horizontal="center"/>
    </xf>
    <xf numFmtId="0" fontId="5" fillId="12" borderId="0" xfId="1" applyFont="1" applyFill="1"/>
    <xf numFmtId="165" fontId="4" fillId="12" borderId="1" xfId="1" applyNumberFormat="1" applyFont="1" applyFill="1" applyBorder="1" applyAlignment="1">
      <alignment horizontal="center"/>
    </xf>
    <xf numFmtId="9" fontId="4" fillId="12" borderId="2" xfId="1" applyNumberFormat="1" applyFont="1" applyFill="1" applyBorder="1" applyAlignment="1">
      <alignment horizontal="center"/>
    </xf>
    <xf numFmtId="0" fontId="4" fillId="12" borderId="2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9" fontId="4" fillId="0" borderId="0" xfId="4" applyFont="1" applyFill="1" applyBorder="1" applyAlignment="1">
      <alignment horizontal="center"/>
    </xf>
    <xf numFmtId="0" fontId="1" fillId="12" borderId="0" xfId="1" applyFill="1"/>
    <xf numFmtId="168" fontId="4" fillId="12" borderId="0" xfId="1" applyNumberFormat="1" applyFont="1" applyFill="1" applyAlignment="1">
      <alignment horizontal="center"/>
    </xf>
    <xf numFmtId="170" fontId="1" fillId="0" borderId="0" xfId="4" applyNumberFormat="1"/>
    <xf numFmtId="0" fontId="1" fillId="0" borderId="0" xfId="1" applyAlignment="1"/>
    <xf numFmtId="0" fontId="1" fillId="0" borderId="0" xfId="1" applyAlignment="1">
      <alignment vertical="center" textRotation="90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Percent" xfId="4" builtinId="5"/>
    <cellStyle name="Percent 2" xfId="3" xr:uid="{00000000-0005-0000-0000-000004000000}"/>
  </cellStyles>
  <dxfs count="0"/>
  <tableStyles count="0" defaultTableStyle="TableStyleMedium2" defaultPivotStyle="PivotStyleLight16"/>
  <colors>
    <mruColors>
      <color rgb="FFF09252"/>
      <color rgb="FFF4D06C"/>
      <color rgb="FFD49F90"/>
      <color rgb="FFF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pinhoa/AppData/Roaming/Microsoft/Excel/DES/DES-Core/EnvMan&amp;Dev/Sustainability/Community%20Energy%202012/BES2/Financial%20model/Financial%20Model%20BES2%208-31A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2"/>
      <sheetName val="BES2 FINANCIAL MODEL FOR ALL 5"/>
      <sheetName val="URH View"/>
      <sheetName val="Returns on Investment (Chart)"/>
      <sheetName val="Investor Retur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ndre Pinho" id="{0D3016DA-C9E7-4881-8060-CF2F348122D9}" userId="30c200a46d3813e3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9" dT="2019-08-30T11:10:06.92" personId="{0D3016DA-C9E7-4881-8060-CF2F348122D9}" id="{19F803FE-1454-40BD-8395-E298D551DC3D}">
    <text>Weighted average is a much better representation of real return. Also note that Community Benefit Societies are limited to paying out 5% interest on existing (outstanding) shares, which means this model in its current form is not possible for a community benefit society.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I147"/>
  <sheetViews>
    <sheetView zoomScaleNormal="100" workbookViewId="0">
      <selection activeCell="B59" sqref="A1:B59"/>
    </sheetView>
  </sheetViews>
  <sheetFormatPr defaultColWidth="9.1328125" defaultRowHeight="14.25" x14ac:dyDescent="0.45"/>
  <cols>
    <col min="1" max="1" width="26.6640625" style="63" customWidth="1"/>
    <col min="2" max="2" width="13" style="63" customWidth="1"/>
    <col min="3" max="3" width="9.1328125" style="63"/>
    <col min="4" max="4" width="23.46484375" style="63" bestFit="1" customWidth="1"/>
    <col min="5" max="8" width="9.53125" style="63" customWidth="1"/>
    <col min="9" max="28" width="11.19921875" style="63" bestFit="1" customWidth="1"/>
    <col min="29" max="29" width="12.265625" style="63" bestFit="1" customWidth="1"/>
    <col min="30" max="30" width="9.53125" style="63" bestFit="1" customWidth="1"/>
    <col min="31" max="33" width="10.1328125" style="63" bestFit="1" customWidth="1"/>
    <col min="34" max="34" width="12.265625" style="63" bestFit="1" customWidth="1"/>
    <col min="35" max="35" width="9.6640625" style="63" bestFit="1" customWidth="1"/>
    <col min="36" max="16384" width="9.1328125" style="63"/>
  </cols>
  <sheetData>
    <row r="1" spans="1:34" s="2" customFormat="1" x14ac:dyDescent="0.4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2" customFormat="1" ht="13.15" x14ac:dyDescent="0.4">
      <c r="B2" s="3"/>
      <c r="C2" s="3"/>
      <c r="E2" s="3">
        <v>2019</v>
      </c>
      <c r="F2" s="3">
        <f>E2+1</f>
        <v>2020</v>
      </c>
      <c r="G2" s="3">
        <f t="shared" ref="G2:X2" si="0">F2+1</f>
        <v>2021</v>
      </c>
      <c r="H2" s="3">
        <f t="shared" si="0"/>
        <v>2022</v>
      </c>
      <c r="I2" s="3">
        <f t="shared" si="0"/>
        <v>2023</v>
      </c>
      <c r="J2" s="3">
        <f t="shared" si="0"/>
        <v>2024</v>
      </c>
      <c r="K2" s="3">
        <f t="shared" si="0"/>
        <v>2025</v>
      </c>
      <c r="L2" s="3">
        <f t="shared" si="0"/>
        <v>2026</v>
      </c>
      <c r="M2" s="3">
        <f t="shared" si="0"/>
        <v>2027</v>
      </c>
      <c r="N2" s="3">
        <f t="shared" si="0"/>
        <v>2028</v>
      </c>
      <c r="O2" s="3">
        <f t="shared" si="0"/>
        <v>2029</v>
      </c>
      <c r="P2" s="3">
        <f t="shared" si="0"/>
        <v>2030</v>
      </c>
      <c r="Q2" s="3">
        <f t="shared" si="0"/>
        <v>2031</v>
      </c>
      <c r="R2" s="3">
        <f t="shared" si="0"/>
        <v>2032</v>
      </c>
      <c r="S2" s="3">
        <f t="shared" si="0"/>
        <v>2033</v>
      </c>
      <c r="T2" s="3">
        <f t="shared" si="0"/>
        <v>2034</v>
      </c>
      <c r="U2" s="3">
        <f t="shared" si="0"/>
        <v>2035</v>
      </c>
      <c r="V2" s="3">
        <f t="shared" si="0"/>
        <v>2036</v>
      </c>
      <c r="W2" s="3">
        <f t="shared" si="0"/>
        <v>2037</v>
      </c>
      <c r="X2" s="3">
        <f t="shared" si="0"/>
        <v>2038</v>
      </c>
      <c r="Y2" s="3">
        <f t="shared" ref="Y2" si="1">X2+1</f>
        <v>2039</v>
      </c>
      <c r="Z2" s="3">
        <f t="shared" ref="Z2" si="2">Y2+1</f>
        <v>2040</v>
      </c>
      <c r="AA2" s="3">
        <f t="shared" ref="AA2" si="3">Z2+1</f>
        <v>2041</v>
      </c>
      <c r="AB2" s="3">
        <f t="shared" ref="AB2" si="4">AA2+1</f>
        <v>2042</v>
      </c>
      <c r="AC2" s="3">
        <f t="shared" ref="AC2" si="5">AB2+1</f>
        <v>2043</v>
      </c>
      <c r="AD2" s="3">
        <f t="shared" ref="AD2" si="6">AC2+1</f>
        <v>2044</v>
      </c>
      <c r="AE2" s="3">
        <f t="shared" ref="AE2" si="7">AD2+1</f>
        <v>2045</v>
      </c>
      <c r="AF2" s="3">
        <f t="shared" ref="AF2" si="8">AE2+1</f>
        <v>2046</v>
      </c>
      <c r="AG2" s="3">
        <f t="shared" ref="AG2" si="9">AF2+1</f>
        <v>2047</v>
      </c>
      <c r="AH2" s="3">
        <f t="shared" ref="AH2" si="10">AG2+1</f>
        <v>2048</v>
      </c>
    </row>
    <row r="3" spans="1:34" s="2" customFormat="1" ht="13.5" thickBot="1" x14ac:dyDescent="0.45">
      <c r="A3" s="4" t="s">
        <v>60</v>
      </c>
      <c r="B3" s="4"/>
      <c r="C3" s="3"/>
      <c r="D3" s="5" t="s">
        <v>0</v>
      </c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6">
        <v>13</v>
      </c>
      <c r="R3" s="6">
        <v>14</v>
      </c>
      <c r="S3" s="6">
        <v>15</v>
      </c>
      <c r="T3" s="6">
        <v>16</v>
      </c>
      <c r="U3" s="6">
        <v>17</v>
      </c>
      <c r="V3" s="6">
        <v>18</v>
      </c>
      <c r="W3" s="6">
        <v>19</v>
      </c>
      <c r="X3" s="6">
        <v>20</v>
      </c>
      <c r="Y3" s="6">
        <v>21</v>
      </c>
      <c r="Z3" s="6">
        <v>22</v>
      </c>
      <c r="AA3" s="6">
        <v>23</v>
      </c>
      <c r="AB3" s="6">
        <v>24</v>
      </c>
      <c r="AC3" s="6">
        <v>25</v>
      </c>
      <c r="AD3" s="6">
        <v>26</v>
      </c>
      <c r="AE3" s="6">
        <v>27</v>
      </c>
      <c r="AF3" s="6">
        <v>28</v>
      </c>
      <c r="AG3" s="6">
        <v>29</v>
      </c>
      <c r="AH3" s="6">
        <v>30</v>
      </c>
    </row>
    <row r="4" spans="1:34" s="2" customFormat="1" ht="13.5" thickBot="1" x14ac:dyDescent="0.45">
      <c r="A4" s="4" t="s">
        <v>1</v>
      </c>
      <c r="B4" s="8">
        <v>30</v>
      </c>
      <c r="C4" s="3"/>
      <c r="D4" s="4" t="s">
        <v>2</v>
      </c>
      <c r="E4" s="7">
        <f>B4*B5</f>
        <v>25500</v>
      </c>
      <c r="F4" s="7">
        <f>IF(F3&gt;$B$6,0,E4-(E4*$B$7))</f>
        <v>25372.5</v>
      </c>
      <c r="G4" s="7">
        <f t="shared" ref="G4:AH4" si="11">IF(G3&gt;$B$6,0,F4-(F4*$B$7))</f>
        <v>25245.637500000001</v>
      </c>
      <c r="H4" s="7">
        <f t="shared" si="11"/>
        <v>25119.4093125</v>
      </c>
      <c r="I4" s="7">
        <f t="shared" si="11"/>
        <v>24993.8122659375</v>
      </c>
      <c r="J4" s="7">
        <f t="shared" si="11"/>
        <v>24868.843204607812</v>
      </c>
      <c r="K4" s="7">
        <f t="shared" si="11"/>
        <v>24744.498988584772</v>
      </c>
      <c r="L4" s="7">
        <f t="shared" si="11"/>
        <v>24620.776493641846</v>
      </c>
      <c r="M4" s="7">
        <f t="shared" si="11"/>
        <v>24497.672611173635</v>
      </c>
      <c r="N4" s="7">
        <f t="shared" si="11"/>
        <v>24375.184248117766</v>
      </c>
      <c r="O4" s="7">
        <f t="shared" si="11"/>
        <v>24253.308326877177</v>
      </c>
      <c r="P4" s="7">
        <f t="shared" si="11"/>
        <v>24132.041785242793</v>
      </c>
      <c r="Q4" s="7">
        <f t="shared" si="11"/>
        <v>24011.38157631658</v>
      </c>
      <c r="R4" s="7">
        <f t="shared" si="11"/>
        <v>23891.324668434998</v>
      </c>
      <c r="S4" s="7">
        <f t="shared" si="11"/>
        <v>23771.868045092822</v>
      </c>
      <c r="T4" s="7">
        <f t="shared" si="11"/>
        <v>23653.008704867359</v>
      </c>
      <c r="U4" s="7">
        <f t="shared" si="11"/>
        <v>23534.743661343022</v>
      </c>
      <c r="V4" s="7">
        <f t="shared" si="11"/>
        <v>23417.069943036306</v>
      </c>
      <c r="W4" s="7">
        <f t="shared" si="11"/>
        <v>23299.984593321125</v>
      </c>
      <c r="X4" s="7">
        <f t="shared" si="11"/>
        <v>23183.484670354519</v>
      </c>
      <c r="Y4" s="7">
        <f t="shared" si="11"/>
        <v>23067.567247002746</v>
      </c>
      <c r="Z4" s="7">
        <f t="shared" si="11"/>
        <v>22952.229410767733</v>
      </c>
      <c r="AA4" s="7">
        <f t="shared" si="11"/>
        <v>22837.468263713894</v>
      </c>
      <c r="AB4" s="7">
        <f t="shared" si="11"/>
        <v>22723.280922395323</v>
      </c>
      <c r="AC4" s="7">
        <f t="shared" si="11"/>
        <v>22609.664517783345</v>
      </c>
      <c r="AD4" s="7">
        <f t="shared" si="11"/>
        <v>0</v>
      </c>
      <c r="AE4" s="7">
        <f t="shared" si="11"/>
        <v>0</v>
      </c>
      <c r="AF4" s="7">
        <f t="shared" si="11"/>
        <v>0</v>
      </c>
      <c r="AG4" s="7">
        <f t="shared" si="11"/>
        <v>0</v>
      </c>
      <c r="AH4" s="7">
        <f t="shared" si="11"/>
        <v>0</v>
      </c>
    </row>
    <row r="5" spans="1:34" s="2" customFormat="1" ht="13.5" thickBot="1" x14ac:dyDescent="0.45">
      <c r="A5" s="4" t="s">
        <v>35</v>
      </c>
      <c r="B5" s="8">
        <v>850</v>
      </c>
      <c r="C5" s="3"/>
      <c r="D5" s="9" t="s">
        <v>3</v>
      </c>
      <c r="E5" s="7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2" customFormat="1" ht="13.5" thickBot="1" x14ac:dyDescent="0.45">
      <c r="A6" s="4" t="s">
        <v>58</v>
      </c>
      <c r="B6" s="8">
        <v>25</v>
      </c>
      <c r="C6" s="3"/>
      <c r="D6" s="4" t="s">
        <v>5</v>
      </c>
      <c r="E6" s="84">
        <f>B8</f>
        <v>0</v>
      </c>
      <c r="F6" s="12">
        <f t="shared" ref="F6:AH6" si="12">E6+(E6*$B$9)</f>
        <v>0</v>
      </c>
      <c r="G6" s="12">
        <f t="shared" si="12"/>
        <v>0</v>
      </c>
      <c r="H6" s="12">
        <f t="shared" si="12"/>
        <v>0</v>
      </c>
      <c r="I6" s="12">
        <f t="shared" si="12"/>
        <v>0</v>
      </c>
      <c r="J6" s="12">
        <f t="shared" si="12"/>
        <v>0</v>
      </c>
      <c r="K6" s="12">
        <f t="shared" si="12"/>
        <v>0</v>
      </c>
      <c r="L6" s="12">
        <f t="shared" si="12"/>
        <v>0</v>
      </c>
      <c r="M6" s="12">
        <f t="shared" si="12"/>
        <v>0</v>
      </c>
      <c r="N6" s="12">
        <f t="shared" si="12"/>
        <v>0</v>
      </c>
      <c r="O6" s="12">
        <f t="shared" si="12"/>
        <v>0</v>
      </c>
      <c r="P6" s="12">
        <f t="shared" si="12"/>
        <v>0</v>
      </c>
      <c r="Q6" s="12">
        <f t="shared" si="12"/>
        <v>0</v>
      </c>
      <c r="R6" s="12">
        <f t="shared" si="12"/>
        <v>0</v>
      </c>
      <c r="S6" s="12">
        <f t="shared" si="12"/>
        <v>0</v>
      </c>
      <c r="T6" s="12">
        <f t="shared" si="12"/>
        <v>0</v>
      </c>
      <c r="U6" s="12">
        <f t="shared" si="12"/>
        <v>0</v>
      </c>
      <c r="V6" s="12">
        <f t="shared" si="12"/>
        <v>0</v>
      </c>
      <c r="W6" s="12">
        <f t="shared" si="12"/>
        <v>0</v>
      </c>
      <c r="X6" s="12">
        <f t="shared" si="12"/>
        <v>0</v>
      </c>
      <c r="Y6" s="12">
        <f t="shared" si="12"/>
        <v>0</v>
      </c>
      <c r="Z6" s="12">
        <f t="shared" si="12"/>
        <v>0</v>
      </c>
      <c r="AA6" s="12">
        <f t="shared" si="12"/>
        <v>0</v>
      </c>
      <c r="AB6" s="12">
        <f t="shared" si="12"/>
        <v>0</v>
      </c>
      <c r="AC6" s="12">
        <f t="shared" si="12"/>
        <v>0</v>
      </c>
      <c r="AD6" s="12">
        <f t="shared" si="12"/>
        <v>0</v>
      </c>
      <c r="AE6" s="12">
        <f t="shared" si="12"/>
        <v>0</v>
      </c>
      <c r="AF6" s="12">
        <f t="shared" si="12"/>
        <v>0</v>
      </c>
      <c r="AG6" s="12">
        <f t="shared" si="12"/>
        <v>0</v>
      </c>
      <c r="AH6" s="12">
        <f t="shared" si="12"/>
        <v>0</v>
      </c>
    </row>
    <row r="7" spans="1:34" s="2" customFormat="1" ht="13.5" thickBot="1" x14ac:dyDescent="0.45">
      <c r="A7" s="4" t="s">
        <v>65</v>
      </c>
      <c r="B7" s="103">
        <v>5.0000000000000001E-3</v>
      </c>
      <c r="C7" s="11"/>
      <c r="D7" s="9" t="str">
        <f>"Energy Inflation @ "&amp;TEXT(B9,"0%")</f>
        <v>Energy Inflation @ 0%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s="2" customFormat="1" ht="13.5" thickBot="1" x14ac:dyDescent="0.45">
      <c r="A8" s="81" t="s">
        <v>4</v>
      </c>
      <c r="B8" s="92">
        <v>0</v>
      </c>
      <c r="C8" s="14"/>
      <c r="D8" s="4" t="s">
        <v>50</v>
      </c>
      <c r="E8" s="84">
        <v>0.12</v>
      </c>
      <c r="F8" s="12">
        <f t="shared" ref="F8:AH8" si="13">E8+(E8*$B$11)</f>
        <v>0.12239999999999999</v>
      </c>
      <c r="G8" s="12">
        <f t="shared" si="13"/>
        <v>0.124848</v>
      </c>
      <c r="H8" s="12">
        <f t="shared" si="13"/>
        <v>0.12734496000000001</v>
      </c>
      <c r="I8" s="12">
        <f t="shared" si="13"/>
        <v>0.12989185920000001</v>
      </c>
      <c r="J8" s="12">
        <f t="shared" si="13"/>
        <v>0.13248969638400002</v>
      </c>
      <c r="K8" s="12">
        <f t="shared" si="13"/>
        <v>0.13513949031168002</v>
      </c>
      <c r="L8" s="12">
        <f t="shared" si="13"/>
        <v>0.13784228011791361</v>
      </c>
      <c r="M8" s="12">
        <f t="shared" si="13"/>
        <v>0.14059912572027189</v>
      </c>
      <c r="N8" s="12">
        <f t="shared" si="13"/>
        <v>0.14341110823467731</v>
      </c>
      <c r="O8" s="12">
        <f t="shared" si="13"/>
        <v>0.14627933039937085</v>
      </c>
      <c r="P8" s="12">
        <f t="shared" si="13"/>
        <v>0.14920491700735827</v>
      </c>
      <c r="Q8" s="12">
        <f t="shared" si="13"/>
        <v>0.15218901534750545</v>
      </c>
      <c r="R8" s="12">
        <f t="shared" si="13"/>
        <v>0.15523279565445555</v>
      </c>
      <c r="S8" s="12">
        <f t="shared" si="13"/>
        <v>0.15833745156754467</v>
      </c>
      <c r="T8" s="12">
        <f t="shared" si="13"/>
        <v>0.16150420059889556</v>
      </c>
      <c r="U8" s="12">
        <f t="shared" si="13"/>
        <v>0.16473428461087347</v>
      </c>
      <c r="V8" s="12">
        <f t="shared" si="13"/>
        <v>0.16802897030309094</v>
      </c>
      <c r="W8" s="12">
        <f t="shared" si="13"/>
        <v>0.17138954970915277</v>
      </c>
      <c r="X8" s="12">
        <f t="shared" si="13"/>
        <v>0.17481734070333582</v>
      </c>
      <c r="Y8" s="12">
        <f t="shared" si="13"/>
        <v>0.17831368751740254</v>
      </c>
      <c r="Z8" s="12">
        <f t="shared" si="13"/>
        <v>0.18187996126775058</v>
      </c>
      <c r="AA8" s="12">
        <f t="shared" si="13"/>
        <v>0.18551756049310558</v>
      </c>
      <c r="AB8" s="12">
        <f t="shared" si="13"/>
        <v>0.18922791170296768</v>
      </c>
      <c r="AC8" s="12">
        <f t="shared" si="13"/>
        <v>0.19301246993702703</v>
      </c>
      <c r="AD8" s="12">
        <f t="shared" si="13"/>
        <v>0.19687271933576758</v>
      </c>
      <c r="AE8" s="12">
        <f t="shared" si="13"/>
        <v>0.20081017372248294</v>
      </c>
      <c r="AF8" s="12">
        <f t="shared" si="13"/>
        <v>0.20482637719693261</v>
      </c>
      <c r="AG8" s="12">
        <f t="shared" si="13"/>
        <v>0.20892290474087127</v>
      </c>
      <c r="AH8" s="12">
        <f t="shared" si="13"/>
        <v>0.2131013628356887</v>
      </c>
    </row>
    <row r="9" spans="1:34" s="2" customFormat="1" ht="13.5" thickBot="1" x14ac:dyDescent="0.45">
      <c r="A9" s="81" t="s">
        <v>52</v>
      </c>
      <c r="B9" s="93">
        <v>0</v>
      </c>
      <c r="C9" s="3"/>
      <c r="D9" s="9" t="str">
        <f>"Energy Inflation @ "&amp;TEXT(B11,"0%")</f>
        <v>Energy Inflation @ 2%</v>
      </c>
      <c r="E9" s="8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2" customFormat="1" ht="13.5" thickBot="1" x14ac:dyDescent="0.45">
      <c r="A10" s="4" t="s">
        <v>62</v>
      </c>
      <c r="B10" s="13">
        <v>0.02</v>
      </c>
      <c r="C10" s="3"/>
      <c r="D10" s="4" t="s">
        <v>9</v>
      </c>
      <c r="E10" s="84">
        <v>0.06</v>
      </c>
      <c r="F10" s="12">
        <f t="shared" ref="F10:AH10" si="14">E10+(E10*$B$12)</f>
        <v>6.1199999999999997E-2</v>
      </c>
      <c r="G10" s="12">
        <f t="shared" si="14"/>
        <v>6.2424E-2</v>
      </c>
      <c r="H10" s="12">
        <f t="shared" si="14"/>
        <v>6.3672480000000004E-2</v>
      </c>
      <c r="I10" s="12">
        <f t="shared" si="14"/>
        <v>6.4945929600000007E-2</v>
      </c>
      <c r="J10" s="12">
        <f t="shared" si="14"/>
        <v>6.6244848192000008E-2</v>
      </c>
      <c r="K10" s="12">
        <f t="shared" si="14"/>
        <v>6.7569745155840008E-2</v>
      </c>
      <c r="L10" s="12">
        <f t="shared" si="14"/>
        <v>6.8921140058956804E-2</v>
      </c>
      <c r="M10" s="12">
        <f t="shared" si="14"/>
        <v>7.0299562860135945E-2</v>
      </c>
      <c r="N10" s="12">
        <f t="shared" si="14"/>
        <v>7.1705554117338657E-2</v>
      </c>
      <c r="O10" s="12">
        <f t="shared" si="14"/>
        <v>7.3139665199685427E-2</v>
      </c>
      <c r="P10" s="12">
        <f t="shared" si="14"/>
        <v>7.4602458503679137E-2</v>
      </c>
      <c r="Q10" s="12">
        <f t="shared" si="14"/>
        <v>7.6094507673752726E-2</v>
      </c>
      <c r="R10" s="12">
        <f t="shared" si="14"/>
        <v>7.7616397827227776E-2</v>
      </c>
      <c r="S10" s="12">
        <f t="shared" si="14"/>
        <v>7.9168725783772334E-2</v>
      </c>
      <c r="T10" s="12">
        <f t="shared" si="14"/>
        <v>8.0752100299447779E-2</v>
      </c>
      <c r="U10" s="12">
        <f t="shared" si="14"/>
        <v>8.2367142305436736E-2</v>
      </c>
      <c r="V10" s="12">
        <f t="shared" si="14"/>
        <v>8.401448515154547E-2</v>
      </c>
      <c r="W10" s="12">
        <f t="shared" si="14"/>
        <v>8.5694774854576383E-2</v>
      </c>
      <c r="X10" s="12">
        <f t="shared" si="14"/>
        <v>8.7408670351667911E-2</v>
      </c>
      <c r="Y10" s="12">
        <f t="shared" si="14"/>
        <v>8.9156843758701268E-2</v>
      </c>
      <c r="Z10" s="12">
        <f t="shared" si="14"/>
        <v>9.0939980633875289E-2</v>
      </c>
      <c r="AA10" s="12">
        <f t="shared" si="14"/>
        <v>9.2758780246552791E-2</v>
      </c>
      <c r="AB10" s="12">
        <f t="shared" si="14"/>
        <v>9.4613955851483841E-2</v>
      </c>
      <c r="AC10" s="12">
        <f t="shared" si="14"/>
        <v>9.6506234968513516E-2</v>
      </c>
      <c r="AD10" s="12">
        <f t="shared" si="14"/>
        <v>9.8436359667883791E-2</v>
      </c>
      <c r="AE10" s="12">
        <f t="shared" si="14"/>
        <v>0.10040508686124147</v>
      </c>
      <c r="AF10" s="12">
        <f t="shared" si="14"/>
        <v>0.10241318859846631</v>
      </c>
      <c r="AG10" s="12">
        <f t="shared" si="14"/>
        <v>0.10446145237043564</v>
      </c>
      <c r="AH10" s="12">
        <f t="shared" si="14"/>
        <v>0.10655068141784435</v>
      </c>
    </row>
    <row r="11" spans="1:34" s="2" customFormat="1" ht="13.5" thickBot="1" x14ac:dyDescent="0.45">
      <c r="A11" s="4" t="s">
        <v>53</v>
      </c>
      <c r="B11" s="13">
        <v>0.02</v>
      </c>
      <c r="C11" s="3"/>
      <c r="D11" s="9" t="str">
        <f>"Energy Inflation @ "&amp;TEXT(B12,"0%")</f>
        <v>Energy Inflation @ 2%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2" customFormat="1" ht="13.5" thickBot="1" x14ac:dyDescent="0.45">
      <c r="A12" s="4" t="s">
        <v>54</v>
      </c>
      <c r="B12" s="13">
        <v>0.02</v>
      </c>
    </row>
    <row r="13" spans="1:34" s="2" customFormat="1" ht="13.5" thickBot="1" x14ac:dyDescent="0.45">
      <c r="A13" s="4" t="s">
        <v>63</v>
      </c>
      <c r="B13" s="13">
        <v>0.01</v>
      </c>
    </row>
    <row r="14" spans="1:34" s="2" customFormat="1" ht="13.5" thickBot="1" x14ac:dyDescent="0.45">
      <c r="A14" s="4" t="s">
        <v>6</v>
      </c>
      <c r="B14" s="13">
        <v>0.9</v>
      </c>
      <c r="C14" s="3"/>
    </row>
    <row r="15" spans="1:34" s="2" customFormat="1" ht="13.5" thickBot="1" x14ac:dyDescent="0.45">
      <c r="A15" s="81" t="s">
        <v>7</v>
      </c>
      <c r="B15" s="93">
        <f>1-B14</f>
        <v>9.9999999999999978E-2</v>
      </c>
      <c r="C15" s="3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34" s="2" customFormat="1" ht="13.5" thickBot="1" x14ac:dyDescent="0.45">
      <c r="A16" s="4" t="s">
        <v>51</v>
      </c>
      <c r="B16" s="79">
        <v>0.05</v>
      </c>
      <c r="C16" s="3"/>
      <c r="D16" s="7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</row>
    <row r="17" spans="1:34" s="2" customFormat="1" ht="13.5" thickBot="1" x14ac:dyDescent="0.45">
      <c r="A17" s="4" t="s">
        <v>55</v>
      </c>
      <c r="B17" s="15">
        <v>1000</v>
      </c>
      <c r="C17" s="3"/>
      <c r="D17" s="77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</row>
    <row r="18" spans="1:34" s="2" customFormat="1" ht="13.5" thickBot="1" x14ac:dyDescent="0.45">
      <c r="A18" s="81" t="s">
        <v>8</v>
      </c>
      <c r="B18" s="94">
        <f>B17*B4</f>
        <v>30000</v>
      </c>
      <c r="C18" s="3"/>
      <c r="D18" s="77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</row>
    <row r="19" spans="1:34" s="2" customFormat="1" ht="13.5" thickBot="1" x14ac:dyDescent="0.45">
      <c r="A19" s="4" t="s">
        <v>36</v>
      </c>
      <c r="B19" s="15">
        <v>0</v>
      </c>
      <c r="C19" s="3"/>
    </row>
    <row r="20" spans="1:34" s="2" customFormat="1" ht="13.5" thickBot="1" x14ac:dyDescent="0.45">
      <c r="A20" s="4" t="s">
        <v>10</v>
      </c>
      <c r="B20" s="16">
        <f>B18+B19</f>
        <v>30000</v>
      </c>
      <c r="C20" s="3"/>
    </row>
    <row r="21" spans="1:34" s="2" customFormat="1" ht="15.75" thickBot="1" x14ac:dyDescent="0.6">
      <c r="A21" s="4" t="s">
        <v>56</v>
      </c>
      <c r="B21" s="80">
        <v>0.34</v>
      </c>
      <c r="C21" s="3"/>
      <c r="D21" s="4" t="s">
        <v>11</v>
      </c>
      <c r="E21" s="17">
        <f>IF(E3&gt;$B$6,0,(E4*$B$21)/1000)</f>
        <v>8.67</v>
      </c>
      <c r="F21" s="17">
        <f t="shared" ref="F21:AH21" si="15">IF(F3&gt;$B$6,0,(F4*$B$21)/1000)</f>
        <v>8.6266500000000015</v>
      </c>
      <c r="G21" s="17">
        <f t="shared" si="15"/>
        <v>8.5835167500000011</v>
      </c>
      <c r="H21" s="17">
        <f t="shared" si="15"/>
        <v>8.5405991662500007</v>
      </c>
      <c r="I21" s="17">
        <f t="shared" si="15"/>
        <v>8.4978961704187519</v>
      </c>
      <c r="J21" s="17">
        <f t="shared" si="15"/>
        <v>8.4554066895666562</v>
      </c>
      <c r="K21" s="17">
        <f t="shared" si="15"/>
        <v>8.4131296561188229</v>
      </c>
      <c r="L21" s="17">
        <f t="shared" si="15"/>
        <v>8.3710640078382283</v>
      </c>
      <c r="M21" s="17">
        <f t="shared" si="15"/>
        <v>8.3292086877990368</v>
      </c>
      <c r="N21" s="17">
        <f t="shared" si="15"/>
        <v>8.2875626443600421</v>
      </c>
      <c r="O21" s="17">
        <f t="shared" si="15"/>
        <v>8.2461248311382409</v>
      </c>
      <c r="P21" s="17">
        <f t="shared" si="15"/>
        <v>8.2048942069825497</v>
      </c>
      <c r="Q21" s="17">
        <f t="shared" si="15"/>
        <v>8.1638697359476389</v>
      </c>
      <c r="R21" s="17">
        <f t="shared" si="15"/>
        <v>8.1230503872679005</v>
      </c>
      <c r="S21" s="17">
        <f t="shared" si="15"/>
        <v>8.0824351353315613</v>
      </c>
      <c r="T21" s="17">
        <f t="shared" si="15"/>
        <v>8.0420229596549024</v>
      </c>
      <c r="U21" s="17">
        <f t="shared" si="15"/>
        <v>8.0018128448566284</v>
      </c>
      <c r="V21" s="17">
        <f t="shared" si="15"/>
        <v>7.9618037806323443</v>
      </c>
      <c r="W21" s="17">
        <f t="shared" si="15"/>
        <v>7.9219947617291835</v>
      </c>
      <c r="X21" s="17">
        <f t="shared" si="15"/>
        <v>7.8823847879205369</v>
      </c>
      <c r="Y21" s="17">
        <f t="shared" si="15"/>
        <v>7.8429728639809335</v>
      </c>
      <c r="Z21" s="17">
        <f t="shared" si="15"/>
        <v>7.8037579996610305</v>
      </c>
      <c r="AA21" s="17">
        <f t="shared" si="15"/>
        <v>7.7647392096627241</v>
      </c>
      <c r="AB21" s="17">
        <f t="shared" si="15"/>
        <v>7.7259155136144102</v>
      </c>
      <c r="AC21" s="17">
        <f t="shared" si="15"/>
        <v>7.6872859360463384</v>
      </c>
      <c r="AD21" s="17">
        <f t="shared" si="15"/>
        <v>0</v>
      </c>
      <c r="AE21" s="17">
        <f t="shared" si="15"/>
        <v>0</v>
      </c>
      <c r="AF21" s="17">
        <f t="shared" si="15"/>
        <v>0</v>
      </c>
      <c r="AG21" s="17">
        <f t="shared" si="15"/>
        <v>0</v>
      </c>
      <c r="AH21" s="17">
        <f t="shared" si="15"/>
        <v>0</v>
      </c>
    </row>
    <row r="22" spans="1:34" s="2" customFormat="1" ht="13.15" x14ac:dyDescent="0.4"/>
    <row r="23" spans="1:34" s="2" customFormat="1" ht="13.15" x14ac:dyDescent="0.4">
      <c r="C23" s="3"/>
    </row>
    <row r="24" spans="1:34" s="2" customFormat="1" ht="13.15" x14ac:dyDescent="0.4">
      <c r="A24" s="18" t="str">
        <f>"Total Income "&amp;B6&amp;" year view"</f>
        <v>Total Income 25 year view</v>
      </c>
      <c r="B24" s="19"/>
      <c r="C24" s="3"/>
      <c r="D24" s="18" t="s">
        <v>43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s="2" customFormat="1" ht="13.15" x14ac:dyDescent="0.4">
      <c r="A25" s="20" t="s">
        <v>12</v>
      </c>
      <c r="B25" s="21">
        <f>SUMIF($E$3:$AH$3,"&lt;"&amp;$B$6+1,E25:AH25)</f>
        <v>0</v>
      </c>
      <c r="C25" s="3"/>
      <c r="D25" s="18" t="s">
        <v>61</v>
      </c>
      <c r="E25" s="21">
        <f t="shared" ref="E25:AH25" si="16">E4*E6</f>
        <v>0</v>
      </c>
      <c r="F25" s="21">
        <f t="shared" si="16"/>
        <v>0</v>
      </c>
      <c r="G25" s="21">
        <f t="shared" si="16"/>
        <v>0</v>
      </c>
      <c r="H25" s="21">
        <f t="shared" si="16"/>
        <v>0</v>
      </c>
      <c r="I25" s="21">
        <f t="shared" si="16"/>
        <v>0</v>
      </c>
      <c r="J25" s="21">
        <f t="shared" si="16"/>
        <v>0</v>
      </c>
      <c r="K25" s="21">
        <f t="shared" si="16"/>
        <v>0</v>
      </c>
      <c r="L25" s="21">
        <f t="shared" si="16"/>
        <v>0</v>
      </c>
      <c r="M25" s="21">
        <f t="shared" si="16"/>
        <v>0</v>
      </c>
      <c r="N25" s="21">
        <f t="shared" si="16"/>
        <v>0</v>
      </c>
      <c r="O25" s="21">
        <f t="shared" si="16"/>
        <v>0</v>
      </c>
      <c r="P25" s="21">
        <f t="shared" si="16"/>
        <v>0</v>
      </c>
      <c r="Q25" s="21">
        <f t="shared" si="16"/>
        <v>0</v>
      </c>
      <c r="R25" s="21">
        <f t="shared" si="16"/>
        <v>0</v>
      </c>
      <c r="S25" s="21">
        <f t="shared" si="16"/>
        <v>0</v>
      </c>
      <c r="T25" s="21">
        <f t="shared" si="16"/>
        <v>0</v>
      </c>
      <c r="U25" s="21">
        <f t="shared" si="16"/>
        <v>0</v>
      </c>
      <c r="V25" s="21">
        <f t="shared" si="16"/>
        <v>0</v>
      </c>
      <c r="W25" s="21">
        <f t="shared" si="16"/>
        <v>0</v>
      </c>
      <c r="X25" s="21">
        <f t="shared" si="16"/>
        <v>0</v>
      </c>
      <c r="Y25" s="21">
        <f t="shared" si="16"/>
        <v>0</v>
      </c>
      <c r="Z25" s="21">
        <f t="shared" si="16"/>
        <v>0</v>
      </c>
      <c r="AA25" s="21">
        <f t="shared" si="16"/>
        <v>0</v>
      </c>
      <c r="AB25" s="21">
        <f t="shared" si="16"/>
        <v>0</v>
      </c>
      <c r="AC25" s="21">
        <f t="shared" si="16"/>
        <v>0</v>
      </c>
      <c r="AD25" s="21">
        <f t="shared" si="16"/>
        <v>0</v>
      </c>
      <c r="AE25" s="21">
        <f t="shared" si="16"/>
        <v>0</v>
      </c>
      <c r="AF25" s="21">
        <f t="shared" si="16"/>
        <v>0</v>
      </c>
      <c r="AG25" s="21">
        <f t="shared" si="16"/>
        <v>0</v>
      </c>
      <c r="AH25" s="21">
        <f t="shared" si="16"/>
        <v>0</v>
      </c>
    </row>
    <row r="26" spans="1:34" s="2" customFormat="1" ht="13.15" x14ac:dyDescent="0.4">
      <c r="A26" s="20" t="s">
        <v>13</v>
      </c>
      <c r="B26" s="21">
        <f>SUMIF($E$3:$AH$3,"&lt;"&amp;$B$6+1,E26:AH26)</f>
        <v>82689.463461805208</v>
      </c>
      <c r="C26" s="3"/>
      <c r="D26" s="18" t="s">
        <v>44</v>
      </c>
      <c r="E26" s="21">
        <f t="shared" ref="E26:AH26" si="17">E4*$B$14*E8</f>
        <v>2754</v>
      </c>
      <c r="F26" s="21">
        <f t="shared" si="17"/>
        <v>2795.0346</v>
      </c>
      <c r="G26" s="21">
        <f t="shared" si="17"/>
        <v>2836.68061554</v>
      </c>
      <c r="H26" s="21">
        <f t="shared" si="17"/>
        <v>2878.9471567115461</v>
      </c>
      <c r="I26" s="21">
        <f t="shared" si="17"/>
        <v>2921.8434693465488</v>
      </c>
      <c r="J26" s="21">
        <f t="shared" si="17"/>
        <v>2965.3789370398122</v>
      </c>
      <c r="K26" s="21">
        <f t="shared" si="17"/>
        <v>3009.563083201705</v>
      </c>
      <c r="L26" s="21">
        <f t="shared" si="17"/>
        <v>3054.4055731414101</v>
      </c>
      <c r="M26" s="21">
        <f t="shared" si="17"/>
        <v>3099.9162161812174</v>
      </c>
      <c r="N26" s="21">
        <f t="shared" si="17"/>
        <v>3146.1049678023169</v>
      </c>
      <c r="O26" s="21">
        <f t="shared" si="17"/>
        <v>3192.9819318225714</v>
      </c>
      <c r="P26" s="21">
        <f t="shared" si="17"/>
        <v>3240.5573626067276</v>
      </c>
      <c r="Q26" s="21">
        <f t="shared" si="17"/>
        <v>3288.8416673095685</v>
      </c>
      <c r="R26" s="21">
        <f t="shared" si="17"/>
        <v>3337.8454081524806</v>
      </c>
      <c r="S26" s="21">
        <f t="shared" si="17"/>
        <v>3387.579304733953</v>
      </c>
      <c r="T26" s="21">
        <f t="shared" si="17"/>
        <v>3438.0542363744889</v>
      </c>
      <c r="U26" s="21">
        <f t="shared" si="17"/>
        <v>3489.2812444964688</v>
      </c>
      <c r="V26" s="21">
        <f t="shared" si="17"/>
        <v>3541.271535039466</v>
      </c>
      <c r="W26" s="21">
        <f t="shared" si="17"/>
        <v>3594.036480911554</v>
      </c>
      <c r="X26" s="21">
        <f t="shared" si="17"/>
        <v>3647.5876244771362</v>
      </c>
      <c r="Y26" s="21">
        <f t="shared" si="17"/>
        <v>3701.9366800818457</v>
      </c>
      <c r="Z26" s="21">
        <f t="shared" si="17"/>
        <v>3757.0955366150652</v>
      </c>
      <c r="AA26" s="21">
        <f t="shared" si="17"/>
        <v>3813.0762601106294</v>
      </c>
      <c r="AB26" s="21">
        <f t="shared" si="17"/>
        <v>3869.8910963862772</v>
      </c>
      <c r="AC26" s="21">
        <f t="shared" si="17"/>
        <v>3927.5524737224323</v>
      </c>
      <c r="AD26" s="21">
        <f t="shared" si="17"/>
        <v>0</v>
      </c>
      <c r="AE26" s="21">
        <f t="shared" si="17"/>
        <v>0</v>
      </c>
      <c r="AF26" s="21">
        <f t="shared" si="17"/>
        <v>0</v>
      </c>
      <c r="AG26" s="21">
        <f t="shared" si="17"/>
        <v>0</v>
      </c>
      <c r="AH26" s="21">
        <f t="shared" si="17"/>
        <v>0</v>
      </c>
    </row>
    <row r="27" spans="1:34" s="2" customFormat="1" ht="13.15" x14ac:dyDescent="0.4">
      <c r="A27" s="20" t="s">
        <v>14</v>
      </c>
      <c r="B27" s="21">
        <f>SUMIF($E$3:$AH$3,"&lt;"&amp;$B$6+1,E27:AH27)</f>
        <v>4593.8590812113989</v>
      </c>
      <c r="C27" s="3"/>
      <c r="D27" s="18" t="s">
        <v>45</v>
      </c>
      <c r="E27" s="21">
        <f t="shared" ref="E27:AH27" si="18">E4*$B$15*E10</f>
        <v>152.99999999999997</v>
      </c>
      <c r="F27" s="21">
        <f t="shared" si="18"/>
        <v>155.27969999999996</v>
      </c>
      <c r="G27" s="21">
        <f t="shared" si="18"/>
        <v>157.59336752999997</v>
      </c>
      <c r="H27" s="21">
        <f t="shared" si="18"/>
        <v>159.94150870619697</v>
      </c>
      <c r="I27" s="21">
        <f t="shared" si="18"/>
        <v>162.32463718591933</v>
      </c>
      <c r="J27" s="21">
        <f t="shared" si="18"/>
        <v>164.74327427998952</v>
      </c>
      <c r="K27" s="21">
        <f t="shared" si="18"/>
        <v>167.19794906676134</v>
      </c>
      <c r="L27" s="21">
        <f t="shared" si="18"/>
        <v>169.68919850785608</v>
      </c>
      <c r="M27" s="21">
        <f t="shared" si="18"/>
        <v>172.21756756562311</v>
      </c>
      <c r="N27" s="21">
        <f t="shared" si="18"/>
        <v>174.78360932235088</v>
      </c>
      <c r="O27" s="21">
        <f t="shared" si="18"/>
        <v>177.38788510125391</v>
      </c>
      <c r="P27" s="21">
        <f t="shared" si="18"/>
        <v>180.0309645892626</v>
      </c>
      <c r="Q27" s="21">
        <f t="shared" si="18"/>
        <v>182.71342596164266</v>
      </c>
      <c r="R27" s="21">
        <f t="shared" si="18"/>
        <v>185.43585600847109</v>
      </c>
      <c r="S27" s="21">
        <f t="shared" si="18"/>
        <v>188.19885026299733</v>
      </c>
      <c r="T27" s="21">
        <f t="shared" si="18"/>
        <v>191.00301313191599</v>
      </c>
      <c r="U27" s="21">
        <f t="shared" si="18"/>
        <v>193.84895802758155</v>
      </c>
      <c r="V27" s="21">
        <f t="shared" si="18"/>
        <v>196.73730750219249</v>
      </c>
      <c r="W27" s="21">
        <f t="shared" si="18"/>
        <v>199.66869338397518</v>
      </c>
      <c r="X27" s="21">
        <f t="shared" si="18"/>
        <v>202.64375691539641</v>
      </c>
      <c r="Y27" s="21">
        <f t="shared" si="18"/>
        <v>205.66314889343579</v>
      </c>
      <c r="Z27" s="21">
        <f t="shared" si="18"/>
        <v>208.72752981194799</v>
      </c>
      <c r="AA27" s="21">
        <f t="shared" si="18"/>
        <v>211.83757000614602</v>
      </c>
      <c r="AB27" s="21">
        <f t="shared" si="18"/>
        <v>214.99394979923753</v>
      </c>
      <c r="AC27" s="21">
        <f t="shared" si="18"/>
        <v>218.19735965124619</v>
      </c>
      <c r="AD27" s="21">
        <f t="shared" si="18"/>
        <v>0</v>
      </c>
      <c r="AE27" s="21">
        <f t="shared" si="18"/>
        <v>0</v>
      </c>
      <c r="AF27" s="21">
        <f t="shared" si="18"/>
        <v>0</v>
      </c>
      <c r="AG27" s="21">
        <f t="shared" si="18"/>
        <v>0</v>
      </c>
      <c r="AH27" s="21">
        <f t="shared" si="18"/>
        <v>0</v>
      </c>
    </row>
    <row r="28" spans="1:34" s="2" customFormat="1" ht="13.15" x14ac:dyDescent="0.4">
      <c r="A28" s="20" t="s">
        <v>39</v>
      </c>
      <c r="B28" s="21">
        <f>SUMIF($E$3:$AH$3,"&lt;"&amp;$B$6+1,E28:AH28)</f>
        <v>3891.8394020680335</v>
      </c>
      <c r="C28" s="3"/>
      <c r="D28" s="18" t="s">
        <v>46</v>
      </c>
      <c r="E28" s="21">
        <f t="shared" ref="E28:AD28" si="19">E56</f>
        <v>0</v>
      </c>
      <c r="F28" s="21">
        <f t="shared" si="19"/>
        <v>12</v>
      </c>
      <c r="G28" s="21">
        <f t="shared" si="19"/>
        <v>24.12</v>
      </c>
      <c r="H28" s="21">
        <f t="shared" si="19"/>
        <v>36.361199999999997</v>
      </c>
      <c r="I28" s="21">
        <f t="shared" si="19"/>
        <v>48.724812</v>
      </c>
      <c r="J28" s="21">
        <f t="shared" si="19"/>
        <v>61.212060120000004</v>
      </c>
      <c r="K28" s="21">
        <f t="shared" si="19"/>
        <v>73.824180721200008</v>
      </c>
      <c r="L28" s="21">
        <f t="shared" si="19"/>
        <v>86.562422528412014</v>
      </c>
      <c r="M28" s="21">
        <f t="shared" si="19"/>
        <v>99.428046753696123</v>
      </c>
      <c r="N28" s="21">
        <f t="shared" si="19"/>
        <v>112.42232722123309</v>
      </c>
      <c r="O28" s="21">
        <f t="shared" si="19"/>
        <v>125.54655049344541</v>
      </c>
      <c r="P28" s="21">
        <f t="shared" si="19"/>
        <v>138.80201599837986</v>
      </c>
      <c r="Q28" s="21">
        <f t="shared" si="19"/>
        <v>152.19003615836368</v>
      </c>
      <c r="R28" s="21">
        <f t="shared" si="19"/>
        <v>165.7119365199473</v>
      </c>
      <c r="S28" s="21">
        <f t="shared" si="19"/>
        <v>179.36905588514676</v>
      </c>
      <c r="T28" s="21">
        <f t="shared" si="19"/>
        <v>193.16274644399826</v>
      </c>
      <c r="U28" s="21">
        <f t="shared" si="19"/>
        <v>207.09437390843826</v>
      </c>
      <c r="V28" s="21">
        <f t="shared" si="19"/>
        <v>221.16531764752264</v>
      </c>
      <c r="W28" s="21">
        <f t="shared" si="19"/>
        <v>235.37697082399788</v>
      </c>
      <c r="X28" s="21">
        <f t="shared" si="19"/>
        <v>249.73074053223783</v>
      </c>
      <c r="Y28" s="21">
        <f t="shared" si="19"/>
        <v>264.22804793756023</v>
      </c>
      <c r="Z28" s="21">
        <f t="shared" si="19"/>
        <v>278.87032841693582</v>
      </c>
      <c r="AA28" s="21">
        <f t="shared" si="19"/>
        <v>293.65903170110516</v>
      </c>
      <c r="AB28" s="21">
        <f t="shared" si="19"/>
        <v>308.59562201811622</v>
      </c>
      <c r="AC28" s="21">
        <f t="shared" si="19"/>
        <v>323.68157823829739</v>
      </c>
      <c r="AD28" s="21">
        <f t="shared" si="19"/>
        <v>0</v>
      </c>
      <c r="AE28" s="21">
        <f t="shared" ref="AE28:AH28" si="20">AE56</f>
        <v>0</v>
      </c>
      <c r="AF28" s="21">
        <f t="shared" si="20"/>
        <v>0</v>
      </c>
      <c r="AG28" s="21">
        <f t="shared" si="20"/>
        <v>0</v>
      </c>
      <c r="AH28" s="21">
        <f t="shared" si="20"/>
        <v>0</v>
      </c>
    </row>
    <row r="29" spans="1:34" s="2" customFormat="1" ht="13.15" x14ac:dyDescent="0.4">
      <c r="A29" s="20" t="s">
        <v>15</v>
      </c>
      <c r="B29" s="21">
        <f>SUMIF($E$3:$AH$3,"&lt;"&amp;$B$6+1,E29:AH29)</f>
        <v>746.60985794964472</v>
      </c>
      <c r="C29" s="3"/>
      <c r="D29" s="18" t="s">
        <v>47</v>
      </c>
      <c r="E29" s="21">
        <f t="shared" ref="E29:AD29" si="21">E62</f>
        <v>0</v>
      </c>
      <c r="F29" s="21">
        <f t="shared" si="21"/>
        <v>5</v>
      </c>
      <c r="G29" s="21">
        <f t="shared" si="21"/>
        <v>10.15</v>
      </c>
      <c r="H29" s="21">
        <f t="shared" si="21"/>
        <v>15.453500000000002</v>
      </c>
      <c r="I29" s="21">
        <f t="shared" si="21"/>
        <v>20.914075000000004</v>
      </c>
      <c r="J29" s="21">
        <f t="shared" si="21"/>
        <v>26.535376550000006</v>
      </c>
      <c r="K29" s="21">
        <f t="shared" si="21"/>
        <v>32.321134331500005</v>
      </c>
      <c r="L29" s="21">
        <f t="shared" si="21"/>
        <v>38.275157771135007</v>
      </c>
      <c r="M29" s="21">
        <f t="shared" si="21"/>
        <v>44.401337687092756</v>
      </c>
      <c r="N29" s="21">
        <f t="shared" si="21"/>
        <v>50.703647968975012</v>
      </c>
      <c r="O29" s="21">
        <f t="shared" si="21"/>
        <v>57.186147291776315</v>
      </c>
      <c r="P29" s="21">
        <f t="shared" si="21"/>
        <v>8.8529808646678614</v>
      </c>
      <c r="Q29" s="21">
        <f t="shared" si="21"/>
        <v>15.158382215287805</v>
      </c>
      <c r="R29" s="21">
        <f t="shared" si="21"/>
        <v>21.651175010253411</v>
      </c>
      <c r="S29" s="21">
        <f t="shared" si="21"/>
        <v>28.335719912624928</v>
      </c>
      <c r="T29" s="21">
        <f t="shared" si="21"/>
        <v>35.216470927065537</v>
      </c>
      <c r="U29" s="21">
        <f t="shared" si="21"/>
        <v>42.297977327956843</v>
      </c>
      <c r="V29" s="21">
        <f t="shared" si="21"/>
        <v>49.584885626689477</v>
      </c>
      <c r="W29" s="21">
        <f t="shared" si="21"/>
        <v>57.081941578918496</v>
      </c>
      <c r="X29" s="21">
        <f t="shared" si="21"/>
        <v>64.793992232589048</v>
      </c>
      <c r="Y29" s="21">
        <f t="shared" si="21"/>
        <v>72.725988017553931</v>
      </c>
      <c r="Z29" s="21">
        <f t="shared" si="21"/>
        <v>0.88298487762124755</v>
      </c>
      <c r="AA29" s="21">
        <f t="shared" si="21"/>
        <v>8.470146445887071</v>
      </c>
      <c r="AB29" s="21">
        <f t="shared" si="21"/>
        <v>16.284746264225348</v>
      </c>
      <c r="AC29" s="21">
        <f t="shared" si="21"/>
        <v>24.33209004782459</v>
      </c>
      <c r="AD29" s="21">
        <f t="shared" si="21"/>
        <v>0</v>
      </c>
      <c r="AE29" s="21">
        <f t="shared" ref="AE29:AH29" si="22">AE62</f>
        <v>0</v>
      </c>
      <c r="AF29" s="21">
        <f t="shared" si="22"/>
        <v>0</v>
      </c>
      <c r="AG29" s="21">
        <f t="shared" si="22"/>
        <v>0</v>
      </c>
      <c r="AH29" s="21">
        <f t="shared" si="22"/>
        <v>0</v>
      </c>
    </row>
    <row r="30" spans="1:34" s="2" customFormat="1" ht="13.15" x14ac:dyDescent="0.4">
      <c r="A30" s="22" t="str">
        <f>"Total "&amp;B6&amp;"yr income"</f>
        <v>Total 25yr income</v>
      </c>
      <c r="B30" s="23">
        <f>SUM(B25:B29)</f>
        <v>91921.77180303428</v>
      </c>
      <c r="C30" s="3"/>
      <c r="D30" s="2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s="2" customFormat="1" ht="13.5" thickBot="1" x14ac:dyDescent="0.45">
      <c r="A31" s="25" t="s">
        <v>16</v>
      </c>
      <c r="B31" s="26">
        <f>B30/B6</f>
        <v>3676.8708721213711</v>
      </c>
      <c r="C31" s="3"/>
      <c r="D31" s="27" t="s">
        <v>17</v>
      </c>
      <c r="E31" s="28">
        <f t="shared" ref="E31:X31" si="23">SUM(E25:E28)</f>
        <v>2907</v>
      </c>
      <c r="F31" s="28">
        <f t="shared" si="23"/>
        <v>2962.3143</v>
      </c>
      <c r="G31" s="28">
        <f t="shared" si="23"/>
        <v>3018.3939830699996</v>
      </c>
      <c r="H31" s="28">
        <f t="shared" si="23"/>
        <v>3075.249865417743</v>
      </c>
      <c r="I31" s="28">
        <f t="shared" si="23"/>
        <v>3132.8929185324682</v>
      </c>
      <c r="J31" s="28">
        <f t="shared" si="23"/>
        <v>3191.3342714398018</v>
      </c>
      <c r="K31" s="28">
        <f t="shared" si="23"/>
        <v>3250.5852129896662</v>
      </c>
      <c r="L31" s="28">
        <f t="shared" si="23"/>
        <v>3310.6571941776779</v>
      </c>
      <c r="M31" s="28">
        <f t="shared" si="23"/>
        <v>3371.5618305005364</v>
      </c>
      <c r="N31" s="28">
        <f t="shared" si="23"/>
        <v>3433.3109043459008</v>
      </c>
      <c r="O31" s="28">
        <f t="shared" si="23"/>
        <v>3495.9163674172705</v>
      </c>
      <c r="P31" s="28">
        <f t="shared" si="23"/>
        <v>3559.39034319437</v>
      </c>
      <c r="Q31" s="28">
        <f t="shared" si="23"/>
        <v>3623.7451294295752</v>
      </c>
      <c r="R31" s="28">
        <f t="shared" si="23"/>
        <v>3688.993200680899</v>
      </c>
      <c r="S31" s="28">
        <f t="shared" si="23"/>
        <v>3755.1472108820972</v>
      </c>
      <c r="T31" s="28">
        <f t="shared" si="23"/>
        <v>3822.2199959504032</v>
      </c>
      <c r="U31" s="28">
        <f t="shared" si="23"/>
        <v>3890.2245764324884</v>
      </c>
      <c r="V31" s="28">
        <f t="shared" si="23"/>
        <v>3959.1741601891808</v>
      </c>
      <c r="W31" s="28">
        <f t="shared" si="23"/>
        <v>4029.082145119527</v>
      </c>
      <c r="X31" s="28">
        <f t="shared" si="23"/>
        <v>4099.9621219247701</v>
      </c>
      <c r="Y31" s="28">
        <f t="shared" ref="Y31:AD31" si="24">SUM(Y25:Y28)</f>
        <v>4171.8278769128419</v>
      </c>
      <c r="Z31" s="28">
        <f t="shared" si="24"/>
        <v>4244.6933948439491</v>
      </c>
      <c r="AA31" s="28">
        <f t="shared" si="24"/>
        <v>4318.5728618178809</v>
      </c>
      <c r="AB31" s="28">
        <f t="shared" si="24"/>
        <v>4393.4806682036315</v>
      </c>
      <c r="AC31" s="28">
        <f t="shared" si="24"/>
        <v>4469.4314116119758</v>
      </c>
      <c r="AD31" s="28">
        <f t="shared" si="24"/>
        <v>0</v>
      </c>
      <c r="AE31" s="28">
        <f t="shared" ref="AE31:AH31" si="25">SUM(AE25:AE28)</f>
        <v>0</v>
      </c>
      <c r="AF31" s="28">
        <f t="shared" si="25"/>
        <v>0</v>
      </c>
      <c r="AG31" s="28">
        <f t="shared" si="25"/>
        <v>0</v>
      </c>
      <c r="AH31" s="28">
        <f t="shared" si="25"/>
        <v>0</v>
      </c>
    </row>
    <row r="32" spans="1:34" s="2" customFormat="1" ht="13.5" thickTop="1" x14ac:dyDescent="0.4">
      <c r="A32" s="87"/>
      <c r="B32" s="88"/>
      <c r="C32" s="3"/>
      <c r="D32" s="86"/>
      <c r="E32" s="89">
        <f>E31/$B$20</f>
        <v>9.69E-2</v>
      </c>
      <c r="F32" s="89">
        <f t="shared" ref="F32:AH32" si="26">F31/$B$20</f>
        <v>9.8743810000000001E-2</v>
      </c>
      <c r="G32" s="89">
        <f t="shared" si="26"/>
        <v>0.10061313276899998</v>
      </c>
      <c r="H32" s="89">
        <f t="shared" si="26"/>
        <v>0.10250832884725809</v>
      </c>
      <c r="I32" s="89">
        <f t="shared" si="26"/>
        <v>0.10442976395108228</v>
      </c>
      <c r="J32" s="89">
        <f t="shared" si="26"/>
        <v>0.10637780904799339</v>
      </c>
      <c r="K32" s="89">
        <f t="shared" si="26"/>
        <v>0.10835284043298887</v>
      </c>
      <c r="L32" s="89">
        <f t="shared" si="26"/>
        <v>0.1103552398059226</v>
      </c>
      <c r="M32" s="89">
        <f t="shared" si="26"/>
        <v>0.11238539435001788</v>
      </c>
      <c r="N32" s="89">
        <f t="shared" si="26"/>
        <v>0.11444369681153002</v>
      </c>
      <c r="O32" s="89">
        <f t="shared" si="26"/>
        <v>0.11653054558057568</v>
      </c>
      <c r="P32" s="89">
        <f t="shared" si="26"/>
        <v>0.11864634477314566</v>
      </c>
      <c r="Q32" s="89">
        <f t="shared" si="26"/>
        <v>0.12079150431431918</v>
      </c>
      <c r="R32" s="89">
        <f t="shared" si="26"/>
        <v>0.12296644002269663</v>
      </c>
      <c r="S32" s="89">
        <f t="shared" si="26"/>
        <v>0.1251715736960699</v>
      </c>
      <c r="T32" s="89">
        <f t="shared" si="26"/>
        <v>0.12740733319834677</v>
      </c>
      <c r="U32" s="89">
        <f t="shared" si="26"/>
        <v>0.12967415254774961</v>
      </c>
      <c r="V32" s="89">
        <f t="shared" si="26"/>
        <v>0.13197247200630602</v>
      </c>
      <c r="W32" s="89">
        <f t="shared" si="26"/>
        <v>0.13430273817065089</v>
      </c>
      <c r="X32" s="89">
        <f t="shared" si="26"/>
        <v>0.136665404064159</v>
      </c>
      <c r="Y32" s="89">
        <f t="shared" si="26"/>
        <v>0.13906092923042807</v>
      </c>
      <c r="Z32" s="89">
        <f t="shared" si="26"/>
        <v>0.14148977982813163</v>
      </c>
      <c r="AA32" s="89">
        <f t="shared" si="26"/>
        <v>0.14395242872726269</v>
      </c>
      <c r="AB32" s="89">
        <f t="shared" si="26"/>
        <v>0.14644935560678771</v>
      </c>
      <c r="AC32" s="89">
        <f t="shared" si="26"/>
        <v>0.14898104705373252</v>
      </c>
      <c r="AD32" s="89">
        <f t="shared" si="26"/>
        <v>0</v>
      </c>
      <c r="AE32" s="89">
        <f t="shared" si="26"/>
        <v>0</v>
      </c>
      <c r="AF32" s="89">
        <f t="shared" si="26"/>
        <v>0</v>
      </c>
      <c r="AG32" s="89">
        <f t="shared" si="26"/>
        <v>0</v>
      </c>
      <c r="AH32" s="89">
        <f t="shared" si="26"/>
        <v>0</v>
      </c>
    </row>
    <row r="33" spans="1:34" s="2" customFormat="1" ht="13.15" x14ac:dyDescent="0.4">
      <c r="B33" s="3"/>
      <c r="C33" s="3"/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</row>
    <row r="34" spans="1:34" s="2" customFormat="1" ht="13.5" thickBot="1" x14ac:dyDescent="0.45">
      <c r="A34" s="31" t="str">
        <f>"Total Costs "&amp;B6&amp;" year view"</f>
        <v>Total Costs 25 year view</v>
      </c>
      <c r="B34" s="32"/>
      <c r="C34" s="3"/>
      <c r="D34" s="31" t="str">
        <f>"Running Costs ("&amp;TEXT(B10,"0%")&amp;") inflation"</f>
        <v>Running Costs (2%) inflation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s="2" customFormat="1" ht="13.5" thickBot="1" x14ac:dyDescent="0.45">
      <c r="A35" s="32" t="s">
        <v>18</v>
      </c>
      <c r="B35" s="34">
        <f t="shared" ref="B35:B42" si="27">SUMIF($E$3:$AH$3,"&lt;"&amp;$B$6+1,E35:AH35)</f>
        <v>-16015.149861618253</v>
      </c>
      <c r="C35" s="3"/>
      <c r="D35" s="35" t="s">
        <v>18</v>
      </c>
      <c r="E35" s="85">
        <f>-500</f>
        <v>-500</v>
      </c>
      <c r="F35" s="34">
        <f>IF(F3&gt;$B$6,0,E35*(1+$B$10))</f>
        <v>-510</v>
      </c>
      <c r="G35" s="34">
        <f t="shared" ref="G35:AH35" si="28">IF(G3&gt;$B$6,0,F35*(1+$B$10))</f>
        <v>-520.20000000000005</v>
      </c>
      <c r="H35" s="34">
        <f t="shared" si="28"/>
        <v>-530.60400000000004</v>
      </c>
      <c r="I35" s="34">
        <f t="shared" si="28"/>
        <v>-541.21608000000003</v>
      </c>
      <c r="J35" s="34">
        <f t="shared" si="28"/>
        <v>-552.0404016</v>
      </c>
      <c r="K35" s="34">
        <f t="shared" si="28"/>
        <v>-563.08120963199997</v>
      </c>
      <c r="L35" s="34">
        <f t="shared" si="28"/>
        <v>-574.34283382464002</v>
      </c>
      <c r="M35" s="34">
        <f t="shared" si="28"/>
        <v>-585.82969050113286</v>
      </c>
      <c r="N35" s="34">
        <f t="shared" si="28"/>
        <v>-597.54628431115555</v>
      </c>
      <c r="O35" s="34">
        <f t="shared" si="28"/>
        <v>-609.49720999737872</v>
      </c>
      <c r="P35" s="34">
        <f t="shared" si="28"/>
        <v>-621.68715419732632</v>
      </c>
      <c r="Q35" s="34">
        <f t="shared" si="28"/>
        <v>-634.12089728127285</v>
      </c>
      <c r="R35" s="34">
        <f t="shared" si="28"/>
        <v>-646.80331522689835</v>
      </c>
      <c r="S35" s="34">
        <f t="shared" si="28"/>
        <v>-659.73938153143638</v>
      </c>
      <c r="T35" s="34">
        <f t="shared" si="28"/>
        <v>-672.93416916206513</v>
      </c>
      <c r="U35" s="34">
        <f t="shared" si="28"/>
        <v>-686.39285254530648</v>
      </c>
      <c r="V35" s="34">
        <f t="shared" si="28"/>
        <v>-700.12070959621258</v>
      </c>
      <c r="W35" s="34">
        <f t="shared" si="28"/>
        <v>-714.12312378813681</v>
      </c>
      <c r="X35" s="34">
        <f t="shared" si="28"/>
        <v>-728.40558626389952</v>
      </c>
      <c r="Y35" s="34">
        <f t="shared" si="28"/>
        <v>-742.97369798917748</v>
      </c>
      <c r="Z35" s="34">
        <f t="shared" si="28"/>
        <v>-757.83317194896108</v>
      </c>
      <c r="AA35" s="34">
        <f t="shared" si="28"/>
        <v>-772.98983538794027</v>
      </c>
      <c r="AB35" s="34">
        <f t="shared" si="28"/>
        <v>-788.44963209569914</v>
      </c>
      <c r="AC35" s="34">
        <f t="shared" si="28"/>
        <v>-804.21862473761314</v>
      </c>
      <c r="AD35" s="34">
        <f t="shared" si="28"/>
        <v>0</v>
      </c>
      <c r="AE35" s="34">
        <f t="shared" si="28"/>
        <v>0</v>
      </c>
      <c r="AF35" s="34">
        <f t="shared" si="28"/>
        <v>0</v>
      </c>
      <c r="AG35" s="34">
        <f t="shared" si="28"/>
        <v>0</v>
      </c>
      <c r="AH35" s="34">
        <f t="shared" si="28"/>
        <v>0</v>
      </c>
    </row>
    <row r="36" spans="1:34" s="2" customFormat="1" ht="13.15" x14ac:dyDescent="0.4">
      <c r="A36" s="32" t="s">
        <v>48</v>
      </c>
      <c r="B36" s="34">
        <f t="shared" si="27"/>
        <v>0</v>
      </c>
      <c r="C36" s="3"/>
      <c r="D36" s="35" t="s">
        <v>19</v>
      </c>
      <c r="E36" s="34">
        <f>0</f>
        <v>0</v>
      </c>
      <c r="F36" s="34">
        <f t="shared" ref="F36" si="29">E36*1.03</f>
        <v>0</v>
      </c>
      <c r="G36" s="34">
        <f t="shared" ref="G36:X36" si="30">F36*1.03</f>
        <v>0</v>
      </c>
      <c r="H36" s="34">
        <f t="shared" si="30"/>
        <v>0</v>
      </c>
      <c r="I36" s="34">
        <f t="shared" si="30"/>
        <v>0</v>
      </c>
      <c r="J36" s="34">
        <f t="shared" si="30"/>
        <v>0</v>
      </c>
      <c r="K36" s="34">
        <f t="shared" si="30"/>
        <v>0</v>
      </c>
      <c r="L36" s="34">
        <f t="shared" si="30"/>
        <v>0</v>
      </c>
      <c r="M36" s="34">
        <f t="shared" si="30"/>
        <v>0</v>
      </c>
      <c r="N36" s="34">
        <f t="shared" si="30"/>
        <v>0</v>
      </c>
      <c r="O36" s="34">
        <f t="shared" si="30"/>
        <v>0</v>
      </c>
      <c r="P36" s="34">
        <f t="shared" si="30"/>
        <v>0</v>
      </c>
      <c r="Q36" s="34">
        <f t="shared" si="30"/>
        <v>0</v>
      </c>
      <c r="R36" s="34">
        <f t="shared" si="30"/>
        <v>0</v>
      </c>
      <c r="S36" s="34">
        <f t="shared" si="30"/>
        <v>0</v>
      </c>
      <c r="T36" s="34">
        <f t="shared" si="30"/>
        <v>0</v>
      </c>
      <c r="U36" s="34">
        <f t="shared" si="30"/>
        <v>0</v>
      </c>
      <c r="V36" s="34">
        <f t="shared" si="30"/>
        <v>0</v>
      </c>
      <c r="W36" s="34">
        <f t="shared" si="30"/>
        <v>0</v>
      </c>
      <c r="X36" s="34">
        <f t="shared" si="30"/>
        <v>0</v>
      </c>
      <c r="Y36" s="34">
        <f t="shared" ref="Y36" si="31">X36*1.03</f>
        <v>0</v>
      </c>
      <c r="Z36" s="34">
        <f t="shared" ref="Z36" si="32">Y36*1.03</f>
        <v>0</v>
      </c>
      <c r="AA36" s="34">
        <f t="shared" ref="AA36" si="33">Z36*1.03</f>
        <v>0</v>
      </c>
      <c r="AB36" s="34">
        <f t="shared" ref="AB36" si="34">AA36*1.03</f>
        <v>0</v>
      </c>
      <c r="AC36" s="34">
        <f t="shared" ref="AC36" si="35">AB36*1.03</f>
        <v>0</v>
      </c>
      <c r="AD36" s="34">
        <f t="shared" ref="AD36" si="36">AC36*1.03</f>
        <v>0</v>
      </c>
      <c r="AE36" s="34">
        <f t="shared" ref="AE36" si="37">AD36*1.03</f>
        <v>0</v>
      </c>
      <c r="AF36" s="34">
        <f t="shared" ref="AF36" si="38">AE36*1.03</f>
        <v>0</v>
      </c>
      <c r="AG36" s="34">
        <f t="shared" ref="AG36" si="39">AF36*1.03</f>
        <v>0</v>
      </c>
      <c r="AH36" s="34">
        <f t="shared" ref="AH36" si="40">AG36*1.03</f>
        <v>0</v>
      </c>
    </row>
    <row r="37" spans="1:34" s="2" customFormat="1" ht="13.5" thickBot="1" x14ac:dyDescent="0.45">
      <c r="A37" s="32" t="s">
        <v>20</v>
      </c>
      <c r="B37" s="34">
        <f t="shared" si="27"/>
        <v>-30000</v>
      </c>
      <c r="C37" s="3"/>
      <c r="D37" s="35" t="s">
        <v>21</v>
      </c>
      <c r="E37" s="34">
        <f t="shared" ref="E37:AC37" si="41">IF(E3&gt;$B$6,0,-$B$20/$B$6)</f>
        <v>-1200</v>
      </c>
      <c r="F37" s="34">
        <f t="shared" si="41"/>
        <v>-1200</v>
      </c>
      <c r="G37" s="34">
        <f t="shared" si="41"/>
        <v>-1200</v>
      </c>
      <c r="H37" s="34">
        <f t="shared" si="41"/>
        <v>-1200</v>
      </c>
      <c r="I37" s="34">
        <f t="shared" si="41"/>
        <v>-1200</v>
      </c>
      <c r="J37" s="34">
        <f t="shared" si="41"/>
        <v>-1200</v>
      </c>
      <c r="K37" s="34">
        <f t="shared" si="41"/>
        <v>-1200</v>
      </c>
      <c r="L37" s="34">
        <f t="shared" si="41"/>
        <v>-1200</v>
      </c>
      <c r="M37" s="34">
        <f t="shared" si="41"/>
        <v>-1200</v>
      </c>
      <c r="N37" s="34">
        <f t="shared" si="41"/>
        <v>-1200</v>
      </c>
      <c r="O37" s="34">
        <f t="shared" si="41"/>
        <v>-1200</v>
      </c>
      <c r="P37" s="34">
        <f t="shared" si="41"/>
        <v>-1200</v>
      </c>
      <c r="Q37" s="34">
        <f t="shared" si="41"/>
        <v>-1200</v>
      </c>
      <c r="R37" s="34">
        <f t="shared" si="41"/>
        <v>-1200</v>
      </c>
      <c r="S37" s="34">
        <f t="shared" si="41"/>
        <v>-1200</v>
      </c>
      <c r="T37" s="34">
        <f t="shared" si="41"/>
        <v>-1200</v>
      </c>
      <c r="U37" s="34">
        <f t="shared" si="41"/>
        <v>-1200</v>
      </c>
      <c r="V37" s="34">
        <f t="shared" si="41"/>
        <v>-1200</v>
      </c>
      <c r="W37" s="34">
        <f t="shared" si="41"/>
        <v>-1200</v>
      </c>
      <c r="X37" s="34">
        <f t="shared" si="41"/>
        <v>-1200</v>
      </c>
      <c r="Y37" s="34">
        <f t="shared" si="41"/>
        <v>-1200</v>
      </c>
      <c r="Z37" s="34">
        <f t="shared" si="41"/>
        <v>-1200</v>
      </c>
      <c r="AA37" s="34">
        <f t="shared" si="41"/>
        <v>-1200</v>
      </c>
      <c r="AB37" s="34">
        <f t="shared" si="41"/>
        <v>-1200</v>
      </c>
      <c r="AC37" s="34">
        <f t="shared" si="41"/>
        <v>-1200</v>
      </c>
      <c r="AD37" s="34">
        <f>IF(AD3&gt;$B$6,0,-$B$20/$B$6)</f>
        <v>0</v>
      </c>
      <c r="AE37" s="34">
        <f t="shared" ref="AE37:AH37" si="42">IF(AE3&gt;$B$6,0,-$B$20/$B$6)</f>
        <v>0</v>
      </c>
      <c r="AF37" s="34">
        <f t="shared" si="42"/>
        <v>0</v>
      </c>
      <c r="AG37" s="34">
        <f t="shared" si="42"/>
        <v>0</v>
      </c>
      <c r="AH37" s="34">
        <f t="shared" si="42"/>
        <v>0</v>
      </c>
    </row>
    <row r="38" spans="1:34" s="2" customFormat="1" ht="13.5" thickBot="1" x14ac:dyDescent="0.45">
      <c r="A38" s="32" t="s">
        <v>22</v>
      </c>
      <c r="B38" s="34">
        <f t="shared" si="27"/>
        <v>-8007.5749308091263</v>
      </c>
      <c r="C38" s="3"/>
      <c r="D38" s="35" t="s">
        <v>22</v>
      </c>
      <c r="E38" s="85">
        <f>-250</f>
        <v>-250</v>
      </c>
      <c r="F38" s="34">
        <f>IF(F3&gt;$B$6,0,E38*(1+$B$10))</f>
        <v>-255</v>
      </c>
      <c r="G38" s="34">
        <f t="shared" ref="G38:AH38" si="43">IF(G3&gt;$B$6,0,F38*(1+$B$10))</f>
        <v>-260.10000000000002</v>
      </c>
      <c r="H38" s="34">
        <f t="shared" si="43"/>
        <v>-265.30200000000002</v>
      </c>
      <c r="I38" s="34">
        <f t="shared" si="43"/>
        <v>-270.60804000000002</v>
      </c>
      <c r="J38" s="34">
        <f t="shared" si="43"/>
        <v>-276.0202008</v>
      </c>
      <c r="K38" s="34">
        <f t="shared" si="43"/>
        <v>-281.54060481599998</v>
      </c>
      <c r="L38" s="34">
        <f t="shared" si="43"/>
        <v>-287.17141691232001</v>
      </c>
      <c r="M38" s="34">
        <f t="shared" si="43"/>
        <v>-292.91484525056643</v>
      </c>
      <c r="N38" s="34">
        <f t="shared" si="43"/>
        <v>-298.77314215557777</v>
      </c>
      <c r="O38" s="34">
        <f t="shared" si="43"/>
        <v>-304.74860499868936</v>
      </c>
      <c r="P38" s="34">
        <f t="shared" si="43"/>
        <v>-310.84357709866316</v>
      </c>
      <c r="Q38" s="34">
        <f t="shared" si="43"/>
        <v>-317.06044864063642</v>
      </c>
      <c r="R38" s="34">
        <f t="shared" si="43"/>
        <v>-323.40165761344917</v>
      </c>
      <c r="S38" s="34">
        <f t="shared" si="43"/>
        <v>-329.86969076571819</v>
      </c>
      <c r="T38" s="34">
        <f t="shared" si="43"/>
        <v>-336.46708458103257</v>
      </c>
      <c r="U38" s="34">
        <f t="shared" si="43"/>
        <v>-343.19642627265324</v>
      </c>
      <c r="V38" s="34">
        <f t="shared" si="43"/>
        <v>-350.06035479810629</v>
      </c>
      <c r="W38" s="34">
        <f t="shared" si="43"/>
        <v>-357.0615618940684</v>
      </c>
      <c r="X38" s="34">
        <f t="shared" si="43"/>
        <v>-364.20279313194976</v>
      </c>
      <c r="Y38" s="34">
        <f t="shared" si="43"/>
        <v>-371.48684899458874</v>
      </c>
      <c r="Z38" s="34">
        <f t="shared" si="43"/>
        <v>-378.91658597448054</v>
      </c>
      <c r="AA38" s="34">
        <f t="shared" si="43"/>
        <v>-386.49491769397014</v>
      </c>
      <c r="AB38" s="34">
        <f t="shared" si="43"/>
        <v>-394.22481604784957</v>
      </c>
      <c r="AC38" s="34">
        <f t="shared" si="43"/>
        <v>-402.10931236880657</v>
      </c>
      <c r="AD38" s="34">
        <f t="shared" si="43"/>
        <v>0</v>
      </c>
      <c r="AE38" s="34">
        <f t="shared" si="43"/>
        <v>0</v>
      </c>
      <c r="AF38" s="34">
        <f t="shared" si="43"/>
        <v>0</v>
      </c>
      <c r="AG38" s="34">
        <f t="shared" si="43"/>
        <v>0</v>
      </c>
      <c r="AH38" s="34">
        <f t="shared" si="43"/>
        <v>0</v>
      </c>
    </row>
    <row r="39" spans="1:34" s="2" customFormat="1" ht="13.5" thickBot="1" x14ac:dyDescent="0.45">
      <c r="A39" s="32" t="s">
        <v>23</v>
      </c>
      <c r="B39" s="34">
        <f t="shared" si="27"/>
        <v>0</v>
      </c>
      <c r="C39" s="3"/>
      <c r="D39" s="35" t="s">
        <v>23</v>
      </c>
      <c r="E39" s="34">
        <v>0</v>
      </c>
      <c r="F39" s="34">
        <f>E39*(1+$B$10)</f>
        <v>0</v>
      </c>
      <c r="G39" s="34">
        <f t="shared" ref="G39:AH39" si="44">F39*(1+$B$10)</f>
        <v>0</v>
      </c>
      <c r="H39" s="34">
        <f t="shared" si="44"/>
        <v>0</v>
      </c>
      <c r="I39" s="34">
        <f t="shared" si="44"/>
        <v>0</v>
      </c>
      <c r="J39" s="34">
        <f t="shared" si="44"/>
        <v>0</v>
      </c>
      <c r="K39" s="34">
        <f t="shared" si="44"/>
        <v>0</v>
      </c>
      <c r="L39" s="34">
        <f t="shared" si="44"/>
        <v>0</v>
      </c>
      <c r="M39" s="34">
        <f t="shared" si="44"/>
        <v>0</v>
      </c>
      <c r="N39" s="34">
        <f t="shared" si="44"/>
        <v>0</v>
      </c>
      <c r="O39" s="34">
        <f t="shared" si="44"/>
        <v>0</v>
      </c>
      <c r="P39" s="34">
        <f t="shared" si="44"/>
        <v>0</v>
      </c>
      <c r="Q39" s="34">
        <f t="shared" si="44"/>
        <v>0</v>
      </c>
      <c r="R39" s="34">
        <f t="shared" si="44"/>
        <v>0</v>
      </c>
      <c r="S39" s="34">
        <f t="shared" si="44"/>
        <v>0</v>
      </c>
      <c r="T39" s="34">
        <f t="shared" si="44"/>
        <v>0</v>
      </c>
      <c r="U39" s="34">
        <f t="shared" si="44"/>
        <v>0</v>
      </c>
      <c r="V39" s="34">
        <f t="shared" si="44"/>
        <v>0</v>
      </c>
      <c r="W39" s="34">
        <f t="shared" si="44"/>
        <v>0</v>
      </c>
      <c r="X39" s="34">
        <f t="shared" si="44"/>
        <v>0</v>
      </c>
      <c r="Y39" s="34">
        <f t="shared" si="44"/>
        <v>0</v>
      </c>
      <c r="Z39" s="34">
        <f t="shared" si="44"/>
        <v>0</v>
      </c>
      <c r="AA39" s="34">
        <f t="shared" si="44"/>
        <v>0</v>
      </c>
      <c r="AB39" s="34">
        <f t="shared" si="44"/>
        <v>0</v>
      </c>
      <c r="AC39" s="34">
        <f t="shared" si="44"/>
        <v>0</v>
      </c>
      <c r="AD39" s="34">
        <f t="shared" si="44"/>
        <v>0</v>
      </c>
      <c r="AE39" s="34">
        <f t="shared" si="44"/>
        <v>0</v>
      </c>
      <c r="AF39" s="34">
        <f t="shared" si="44"/>
        <v>0</v>
      </c>
      <c r="AG39" s="34">
        <f t="shared" si="44"/>
        <v>0</v>
      </c>
      <c r="AH39" s="34">
        <f t="shared" si="44"/>
        <v>0</v>
      </c>
    </row>
    <row r="40" spans="1:34" s="2" customFormat="1" ht="13.5" thickBot="1" x14ac:dyDescent="0.45">
      <c r="A40" s="32" t="s">
        <v>24</v>
      </c>
      <c r="B40" s="34">
        <f t="shared" si="27"/>
        <v>-16015.149861618253</v>
      </c>
      <c r="C40" s="36"/>
      <c r="D40" s="35" t="s">
        <v>24</v>
      </c>
      <c r="E40" s="85">
        <f>-500</f>
        <v>-500</v>
      </c>
      <c r="F40" s="34">
        <f>IF(F3&gt;$B$6,0,E40*(1+$B$10))</f>
        <v>-510</v>
      </c>
      <c r="G40" s="34">
        <f t="shared" ref="G40:AH40" si="45">IF(G3&gt;$B$6,0,F40*(1+$B$10))</f>
        <v>-520.20000000000005</v>
      </c>
      <c r="H40" s="34">
        <f t="shared" si="45"/>
        <v>-530.60400000000004</v>
      </c>
      <c r="I40" s="34">
        <f t="shared" si="45"/>
        <v>-541.21608000000003</v>
      </c>
      <c r="J40" s="34">
        <f t="shared" si="45"/>
        <v>-552.0404016</v>
      </c>
      <c r="K40" s="34">
        <f t="shared" si="45"/>
        <v>-563.08120963199997</v>
      </c>
      <c r="L40" s="34">
        <f t="shared" si="45"/>
        <v>-574.34283382464002</v>
      </c>
      <c r="M40" s="34">
        <f t="shared" si="45"/>
        <v>-585.82969050113286</v>
      </c>
      <c r="N40" s="34">
        <f t="shared" si="45"/>
        <v>-597.54628431115555</v>
      </c>
      <c r="O40" s="34">
        <f t="shared" si="45"/>
        <v>-609.49720999737872</v>
      </c>
      <c r="P40" s="34">
        <f t="shared" si="45"/>
        <v>-621.68715419732632</v>
      </c>
      <c r="Q40" s="34">
        <f t="shared" si="45"/>
        <v>-634.12089728127285</v>
      </c>
      <c r="R40" s="34">
        <f t="shared" si="45"/>
        <v>-646.80331522689835</v>
      </c>
      <c r="S40" s="34">
        <f t="shared" si="45"/>
        <v>-659.73938153143638</v>
      </c>
      <c r="T40" s="34">
        <f t="shared" si="45"/>
        <v>-672.93416916206513</v>
      </c>
      <c r="U40" s="34">
        <f t="shared" si="45"/>
        <v>-686.39285254530648</v>
      </c>
      <c r="V40" s="34">
        <f t="shared" si="45"/>
        <v>-700.12070959621258</v>
      </c>
      <c r="W40" s="34">
        <f t="shared" si="45"/>
        <v>-714.12312378813681</v>
      </c>
      <c r="X40" s="34">
        <f t="shared" si="45"/>
        <v>-728.40558626389952</v>
      </c>
      <c r="Y40" s="34">
        <f t="shared" si="45"/>
        <v>-742.97369798917748</v>
      </c>
      <c r="Z40" s="34">
        <f t="shared" si="45"/>
        <v>-757.83317194896108</v>
      </c>
      <c r="AA40" s="34">
        <f t="shared" si="45"/>
        <v>-772.98983538794027</v>
      </c>
      <c r="AB40" s="34">
        <f t="shared" si="45"/>
        <v>-788.44963209569914</v>
      </c>
      <c r="AC40" s="34">
        <f t="shared" si="45"/>
        <v>-804.21862473761314</v>
      </c>
      <c r="AD40" s="34">
        <f t="shared" si="45"/>
        <v>0</v>
      </c>
      <c r="AE40" s="34">
        <f t="shared" si="45"/>
        <v>0</v>
      </c>
      <c r="AF40" s="34">
        <f t="shared" si="45"/>
        <v>0</v>
      </c>
      <c r="AG40" s="34">
        <f t="shared" si="45"/>
        <v>0</v>
      </c>
      <c r="AH40" s="34">
        <f t="shared" si="45"/>
        <v>0</v>
      </c>
    </row>
    <row r="41" spans="1:34" s="2" customFormat="1" ht="13.5" thickBot="1" x14ac:dyDescent="0.45">
      <c r="A41" s="32" t="s">
        <v>25</v>
      </c>
      <c r="B41" s="34">
        <f t="shared" si="27"/>
        <v>-1601.5149861618254</v>
      </c>
      <c r="C41" s="36"/>
      <c r="D41" s="35" t="s">
        <v>25</v>
      </c>
      <c r="E41" s="85">
        <f>-50</f>
        <v>-50</v>
      </c>
      <c r="F41" s="34">
        <f>IF(F3&gt;$B$6,0,E41*(1+$B$10))</f>
        <v>-51</v>
      </c>
      <c r="G41" s="34">
        <f t="shared" ref="G41:AH41" si="46">IF(G3&gt;$B$6,0,F41*(1+$B$10))</f>
        <v>-52.02</v>
      </c>
      <c r="H41" s="34">
        <f t="shared" si="46"/>
        <v>-53.060400000000001</v>
      </c>
      <c r="I41" s="34">
        <f t="shared" si="46"/>
        <v>-54.121608000000002</v>
      </c>
      <c r="J41" s="34">
        <f t="shared" si="46"/>
        <v>-55.204040160000005</v>
      </c>
      <c r="K41" s="34">
        <f t="shared" si="46"/>
        <v>-56.308120963200004</v>
      </c>
      <c r="L41" s="34">
        <f t="shared" si="46"/>
        <v>-57.434283382464002</v>
      </c>
      <c r="M41" s="34">
        <f t="shared" si="46"/>
        <v>-58.582969050113284</v>
      </c>
      <c r="N41" s="34">
        <f t="shared" si="46"/>
        <v>-59.754628431115549</v>
      </c>
      <c r="O41" s="34">
        <f t="shared" si="46"/>
        <v>-60.949720999737863</v>
      </c>
      <c r="P41" s="34">
        <f t="shared" si="46"/>
        <v>-62.168715419732621</v>
      </c>
      <c r="Q41" s="34">
        <f t="shared" si="46"/>
        <v>-63.412089728127278</v>
      </c>
      <c r="R41" s="34">
        <f t="shared" si="46"/>
        <v>-64.680331522689826</v>
      </c>
      <c r="S41" s="34">
        <f t="shared" si="46"/>
        <v>-65.973938153143621</v>
      </c>
      <c r="T41" s="34">
        <f t="shared" si="46"/>
        <v>-67.293416916206496</v>
      </c>
      <c r="U41" s="34">
        <f t="shared" si="46"/>
        <v>-68.639285254530634</v>
      </c>
      <c r="V41" s="34">
        <f t="shared" si="46"/>
        <v>-70.012070959621255</v>
      </c>
      <c r="W41" s="34">
        <f t="shared" si="46"/>
        <v>-71.412312378813681</v>
      </c>
      <c r="X41" s="34">
        <f t="shared" si="46"/>
        <v>-72.840558626389949</v>
      </c>
      <c r="Y41" s="34">
        <f t="shared" si="46"/>
        <v>-74.297369798917757</v>
      </c>
      <c r="Z41" s="34">
        <f t="shared" si="46"/>
        <v>-75.783317194896114</v>
      </c>
      <c r="AA41" s="34">
        <f t="shared" si="46"/>
        <v>-77.298983538794033</v>
      </c>
      <c r="AB41" s="34">
        <f t="shared" si="46"/>
        <v>-78.844963209569912</v>
      </c>
      <c r="AC41" s="34">
        <f t="shared" si="46"/>
        <v>-80.421862473761308</v>
      </c>
      <c r="AD41" s="34">
        <f t="shared" si="46"/>
        <v>0</v>
      </c>
      <c r="AE41" s="34">
        <f t="shared" si="46"/>
        <v>0</v>
      </c>
      <c r="AF41" s="34">
        <f t="shared" si="46"/>
        <v>0</v>
      </c>
      <c r="AG41" s="34">
        <f t="shared" si="46"/>
        <v>0</v>
      </c>
      <c r="AH41" s="34">
        <f t="shared" si="46"/>
        <v>0</v>
      </c>
    </row>
    <row r="42" spans="1:34" s="2" customFormat="1" ht="13.15" x14ac:dyDescent="0.4">
      <c r="A42" s="32" t="s">
        <v>38</v>
      </c>
      <c r="B42" s="34">
        <f t="shared" si="27"/>
        <v>0</v>
      </c>
      <c r="C42" s="30"/>
      <c r="D42" s="35" t="s">
        <v>38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</row>
    <row r="43" spans="1:34" s="2" customFormat="1" ht="13.15" x14ac:dyDescent="0.4">
      <c r="A43" s="37" t="str">
        <f>"Total "&amp;B6&amp;"yr running costs"</f>
        <v>Total 25yr running costs</v>
      </c>
      <c r="B43" s="38">
        <f>SUM(B35:B42)</f>
        <v>-71639.389640207461</v>
      </c>
      <c r="C43" s="36"/>
    </row>
    <row r="44" spans="1:34" s="2" customFormat="1" ht="13.5" thickBot="1" x14ac:dyDescent="0.45">
      <c r="A44" s="39" t="s">
        <v>16</v>
      </c>
      <c r="B44" s="40">
        <f>B43/B6</f>
        <v>-2865.5755856082983</v>
      </c>
      <c r="C44" s="36"/>
      <c r="D44" s="41" t="s">
        <v>26</v>
      </c>
      <c r="E44" s="42">
        <f>SUM(E35:E42)</f>
        <v>-2500</v>
      </c>
      <c r="F44" s="42">
        <f t="shared" ref="F44:AH44" si="47">SUM(F35:F42)</f>
        <v>-2526</v>
      </c>
      <c r="G44" s="42">
        <f t="shared" si="47"/>
        <v>-2552.52</v>
      </c>
      <c r="H44" s="42">
        <f t="shared" si="47"/>
        <v>-2579.5704000000001</v>
      </c>
      <c r="I44" s="42">
        <f t="shared" si="47"/>
        <v>-2607.1618080000003</v>
      </c>
      <c r="J44" s="42">
        <f t="shared" si="47"/>
        <v>-2635.3050441600003</v>
      </c>
      <c r="K44" s="42">
        <f t="shared" si="47"/>
        <v>-2664.0111450432</v>
      </c>
      <c r="L44" s="42">
        <f t="shared" si="47"/>
        <v>-2693.2913679440639</v>
      </c>
      <c r="M44" s="42">
        <f t="shared" si="47"/>
        <v>-2723.1571953029456</v>
      </c>
      <c r="N44" s="42">
        <f t="shared" si="47"/>
        <v>-2753.6203392090042</v>
      </c>
      <c r="O44" s="42">
        <f t="shared" si="47"/>
        <v>-2784.6927459931849</v>
      </c>
      <c r="P44" s="42">
        <f t="shared" si="47"/>
        <v>-2816.3866009130484</v>
      </c>
      <c r="Q44" s="42">
        <f t="shared" si="47"/>
        <v>-2848.7143329313094</v>
      </c>
      <c r="R44" s="42">
        <f t="shared" si="47"/>
        <v>-2881.688619589936</v>
      </c>
      <c r="S44" s="42">
        <f t="shared" si="47"/>
        <v>-2915.3223919817342</v>
      </c>
      <c r="T44" s="42">
        <f t="shared" si="47"/>
        <v>-2949.6288398213692</v>
      </c>
      <c r="U44" s="42">
        <f t="shared" si="47"/>
        <v>-2984.621416617797</v>
      </c>
      <c r="V44" s="42">
        <f t="shared" si="47"/>
        <v>-3020.313844950153</v>
      </c>
      <c r="W44" s="42">
        <f t="shared" si="47"/>
        <v>-3056.7201218491559</v>
      </c>
      <c r="X44" s="42">
        <f t="shared" si="47"/>
        <v>-3093.8545242861383</v>
      </c>
      <c r="Y44" s="42">
        <f t="shared" si="47"/>
        <v>-3131.7316147718616</v>
      </c>
      <c r="Z44" s="42">
        <f t="shared" si="47"/>
        <v>-3170.3662470672984</v>
      </c>
      <c r="AA44" s="42">
        <f t="shared" si="47"/>
        <v>-3209.7735720086448</v>
      </c>
      <c r="AB44" s="42">
        <f t="shared" si="47"/>
        <v>-3249.969043448818</v>
      </c>
      <c r="AC44" s="42">
        <f t="shared" si="47"/>
        <v>-3290.968424317794</v>
      </c>
      <c r="AD44" s="42">
        <f t="shared" si="47"/>
        <v>0</v>
      </c>
      <c r="AE44" s="42">
        <f t="shared" si="47"/>
        <v>0</v>
      </c>
      <c r="AF44" s="42">
        <f t="shared" si="47"/>
        <v>0</v>
      </c>
      <c r="AG44" s="42">
        <f t="shared" si="47"/>
        <v>0</v>
      </c>
      <c r="AH44" s="42">
        <f t="shared" si="47"/>
        <v>0</v>
      </c>
    </row>
    <row r="45" spans="1:34" s="2" customFormat="1" ht="13.5" thickTop="1" x14ac:dyDescent="0.4">
      <c r="C45" s="36"/>
    </row>
    <row r="46" spans="1:34" s="2" customFormat="1" ht="13.5" thickBot="1" x14ac:dyDescent="0.45">
      <c r="A46" s="43" t="s">
        <v>27</v>
      </c>
      <c r="B46" s="44">
        <f>SUMIF($E$3:$AH$3,"&lt;"&amp;$B$6+1,E48:AH48)</f>
        <v>18558.983689633336</v>
      </c>
      <c r="C46" s="36"/>
      <c r="D46" s="45" t="s">
        <v>28</v>
      </c>
      <c r="E46" s="46">
        <f t="shared" ref="E46:X46" si="48">E31+E44</f>
        <v>407</v>
      </c>
      <c r="F46" s="46">
        <f t="shared" si="48"/>
        <v>436.3143</v>
      </c>
      <c r="G46" s="46">
        <f t="shared" si="48"/>
        <v>465.87398306999967</v>
      </c>
      <c r="H46" s="46">
        <f t="shared" si="48"/>
        <v>495.6794654177429</v>
      </c>
      <c r="I46" s="46">
        <f t="shared" si="48"/>
        <v>525.73111053246794</v>
      </c>
      <c r="J46" s="46">
        <f t="shared" si="48"/>
        <v>556.02922727980149</v>
      </c>
      <c r="K46" s="46">
        <f t="shared" si="48"/>
        <v>586.57406794646613</v>
      </c>
      <c r="L46" s="46">
        <f t="shared" si="48"/>
        <v>617.36582623361392</v>
      </c>
      <c r="M46" s="46">
        <f t="shared" si="48"/>
        <v>648.40463519759078</v>
      </c>
      <c r="N46" s="46">
        <f t="shared" si="48"/>
        <v>679.69056513689657</v>
      </c>
      <c r="O46" s="46">
        <f t="shared" si="48"/>
        <v>711.22362142408565</v>
      </c>
      <c r="P46" s="46">
        <f t="shared" si="48"/>
        <v>743.00374228132159</v>
      </c>
      <c r="Q46" s="46">
        <f t="shared" si="48"/>
        <v>775.03079649826577</v>
      </c>
      <c r="R46" s="46">
        <f t="shared" si="48"/>
        <v>807.30458109096298</v>
      </c>
      <c r="S46" s="46">
        <f t="shared" si="48"/>
        <v>839.82481890036297</v>
      </c>
      <c r="T46" s="46">
        <f t="shared" si="48"/>
        <v>872.59115612903406</v>
      </c>
      <c r="U46" s="46">
        <f t="shared" si="48"/>
        <v>905.60315981469148</v>
      </c>
      <c r="V46" s="46">
        <f t="shared" si="48"/>
        <v>938.86031523902784</v>
      </c>
      <c r="W46" s="46">
        <f t="shared" si="48"/>
        <v>972.36202327037108</v>
      </c>
      <c r="X46" s="46">
        <f t="shared" si="48"/>
        <v>1006.1075976386319</v>
      </c>
      <c r="Y46" s="46">
        <f t="shared" ref="Y46:AD46" si="49">Y31+Y44</f>
        <v>1040.0962621409803</v>
      </c>
      <c r="Z46" s="46">
        <f t="shared" si="49"/>
        <v>1074.3271477766507</v>
      </c>
      <c r="AA46" s="46">
        <f t="shared" si="49"/>
        <v>1108.7992898092361</v>
      </c>
      <c r="AB46" s="46">
        <f t="shared" si="49"/>
        <v>1143.5116247548135</v>
      </c>
      <c r="AC46" s="46">
        <f t="shared" si="49"/>
        <v>1178.4629872941819</v>
      </c>
      <c r="AD46" s="46">
        <f t="shared" si="49"/>
        <v>0</v>
      </c>
      <c r="AE46" s="46">
        <f t="shared" ref="AE46:AH46" si="50">AE31+AE44</f>
        <v>0</v>
      </c>
      <c r="AF46" s="46">
        <f t="shared" si="50"/>
        <v>0</v>
      </c>
      <c r="AG46" s="46">
        <f t="shared" si="50"/>
        <v>0</v>
      </c>
      <c r="AH46" s="46">
        <f t="shared" si="50"/>
        <v>0</v>
      </c>
    </row>
    <row r="47" spans="1:34" s="2" customFormat="1" ht="13.5" thickTop="1" x14ac:dyDescent="0.4">
      <c r="A47" s="43" t="s">
        <v>59</v>
      </c>
      <c r="B47" s="91">
        <f>SUMIF($E$3:$AH$3,"&lt;"&amp;$B$6+1,E50:AH50)</f>
        <v>976.78861524385968</v>
      </c>
      <c r="C47" s="36"/>
      <c r="D47" s="47" t="s">
        <v>29</v>
      </c>
      <c r="E47" s="48">
        <f>E46/$B$20</f>
        <v>1.3566666666666666E-2</v>
      </c>
      <c r="F47" s="48">
        <f t="shared" ref="F47:AH47" si="51">F46/$B$20</f>
        <v>1.4543810000000001E-2</v>
      </c>
      <c r="G47" s="48">
        <f t="shared" si="51"/>
        <v>1.552913276899999E-2</v>
      </c>
      <c r="H47" s="48">
        <f t="shared" si="51"/>
        <v>1.6522648847258098E-2</v>
      </c>
      <c r="I47" s="48">
        <f t="shared" si="51"/>
        <v>1.7524370351082265E-2</v>
      </c>
      <c r="J47" s="48">
        <f t="shared" si="51"/>
        <v>1.8534307575993381E-2</v>
      </c>
      <c r="K47" s="48">
        <f t="shared" si="51"/>
        <v>1.9552468931548873E-2</v>
      </c>
      <c r="L47" s="48">
        <f t="shared" si="51"/>
        <v>2.0578860874453798E-2</v>
      </c>
      <c r="M47" s="48">
        <f t="shared" si="51"/>
        <v>2.1613487839919693E-2</v>
      </c>
      <c r="N47" s="48">
        <f t="shared" si="51"/>
        <v>2.2656352171229886E-2</v>
      </c>
      <c r="O47" s="48">
        <f t="shared" si="51"/>
        <v>2.3707454047469521E-2</v>
      </c>
      <c r="P47" s="48">
        <f t="shared" si="51"/>
        <v>2.4766791409377386E-2</v>
      </c>
      <c r="Q47" s="48">
        <f t="shared" si="51"/>
        <v>2.5834359883275527E-2</v>
      </c>
      <c r="R47" s="48">
        <f t="shared" si="51"/>
        <v>2.6910152703032101E-2</v>
      </c>
      <c r="S47" s="48">
        <f t="shared" si="51"/>
        <v>2.7994160630012099E-2</v>
      </c>
      <c r="T47" s="48">
        <f t="shared" si="51"/>
        <v>2.9086371870967801E-2</v>
      </c>
      <c r="U47" s="48">
        <f t="shared" si="51"/>
        <v>3.0186771993823049E-2</v>
      </c>
      <c r="V47" s="48">
        <f t="shared" si="51"/>
        <v>3.1295343841300928E-2</v>
      </c>
      <c r="W47" s="48">
        <f t="shared" si="51"/>
        <v>3.2412067442345704E-2</v>
      </c>
      <c r="X47" s="48">
        <f t="shared" si="51"/>
        <v>3.3536919921287732E-2</v>
      </c>
      <c r="Y47" s="48">
        <f t="shared" si="51"/>
        <v>3.4669875404699346E-2</v>
      </c>
      <c r="Z47" s="48">
        <f t="shared" si="51"/>
        <v>3.5810904925888357E-2</v>
      </c>
      <c r="AA47" s="48">
        <f t="shared" si="51"/>
        <v>3.6959976326974536E-2</v>
      </c>
      <c r="AB47" s="48">
        <f t="shared" si="51"/>
        <v>3.8117054158493785E-2</v>
      </c>
      <c r="AC47" s="48">
        <f t="shared" si="51"/>
        <v>3.9282099576472732E-2</v>
      </c>
      <c r="AD47" s="48">
        <f t="shared" si="51"/>
        <v>0</v>
      </c>
      <c r="AE47" s="48">
        <f t="shared" si="51"/>
        <v>0</v>
      </c>
      <c r="AF47" s="48">
        <f t="shared" si="51"/>
        <v>0</v>
      </c>
      <c r="AG47" s="48">
        <f t="shared" si="51"/>
        <v>0</v>
      </c>
      <c r="AH47" s="48">
        <f t="shared" si="51"/>
        <v>0</v>
      </c>
    </row>
    <row r="48" spans="1:34" s="2" customFormat="1" ht="13.15" x14ac:dyDescent="0.4">
      <c r="A48" s="49" t="s">
        <v>30</v>
      </c>
      <c r="B48" s="50">
        <f>SUM(B46:B47)</f>
        <v>19535.772304877195</v>
      </c>
      <c r="C48" s="36"/>
      <c r="D48" s="47" t="str">
        <f>"Shareholder return ("&amp;TEXT(1-B16,"0%")&amp;")"</f>
        <v>Shareholder return (95%)</v>
      </c>
      <c r="E48" s="44">
        <f t="shared" ref="E48:AH48" si="52">E46*(1-$B$16)</f>
        <v>386.65</v>
      </c>
      <c r="F48" s="44">
        <f t="shared" si="52"/>
        <v>414.49858499999999</v>
      </c>
      <c r="G48" s="44">
        <f t="shared" si="52"/>
        <v>442.58028391649964</v>
      </c>
      <c r="H48" s="44">
        <f t="shared" si="52"/>
        <v>470.89549214685576</v>
      </c>
      <c r="I48" s="44">
        <f t="shared" si="52"/>
        <v>499.44455500584451</v>
      </c>
      <c r="J48" s="44">
        <f t="shared" si="52"/>
        <v>528.22776591581135</v>
      </c>
      <c r="K48" s="44">
        <f t="shared" si="52"/>
        <v>557.24536454914278</v>
      </c>
      <c r="L48" s="44">
        <f t="shared" si="52"/>
        <v>586.49753492193315</v>
      </c>
      <c r="M48" s="44">
        <f t="shared" si="52"/>
        <v>615.98440343771119</v>
      </c>
      <c r="N48" s="44">
        <f t="shared" si="52"/>
        <v>645.70603688005167</v>
      </c>
      <c r="O48" s="44">
        <f t="shared" si="52"/>
        <v>675.66244035288139</v>
      </c>
      <c r="P48" s="44">
        <f t="shared" si="52"/>
        <v>705.85355516725554</v>
      </c>
      <c r="Q48" s="44">
        <f t="shared" si="52"/>
        <v>736.27925667335239</v>
      </c>
      <c r="R48" s="44">
        <f t="shared" si="52"/>
        <v>766.93935203641479</v>
      </c>
      <c r="S48" s="44">
        <f t="shared" si="52"/>
        <v>797.83357795534482</v>
      </c>
      <c r="T48" s="44">
        <f t="shared" si="52"/>
        <v>828.96159832258229</v>
      </c>
      <c r="U48" s="44">
        <f t="shared" si="52"/>
        <v>860.32300182395682</v>
      </c>
      <c r="V48" s="44">
        <f t="shared" si="52"/>
        <v>891.91729947707643</v>
      </c>
      <c r="W48" s="44">
        <f t="shared" si="52"/>
        <v>923.74392210685244</v>
      </c>
      <c r="X48" s="44">
        <f t="shared" si="52"/>
        <v>955.8022177567002</v>
      </c>
      <c r="Y48" s="44">
        <f t="shared" si="52"/>
        <v>988.09144903393133</v>
      </c>
      <c r="Z48" s="44">
        <f t="shared" si="52"/>
        <v>1020.6107903878182</v>
      </c>
      <c r="AA48" s="44">
        <f t="shared" si="52"/>
        <v>1053.3593253187744</v>
      </c>
      <c r="AB48" s="44">
        <f t="shared" si="52"/>
        <v>1086.3360435170728</v>
      </c>
      <c r="AC48" s="44">
        <f t="shared" si="52"/>
        <v>1119.5398379294727</v>
      </c>
      <c r="AD48" s="44">
        <f t="shared" si="52"/>
        <v>0</v>
      </c>
      <c r="AE48" s="44">
        <f t="shared" si="52"/>
        <v>0</v>
      </c>
      <c r="AF48" s="44">
        <f t="shared" si="52"/>
        <v>0</v>
      </c>
      <c r="AG48" s="44">
        <f t="shared" si="52"/>
        <v>0</v>
      </c>
      <c r="AH48" s="44">
        <f t="shared" si="52"/>
        <v>0</v>
      </c>
    </row>
    <row r="49" spans="1:35" s="2" customFormat="1" ht="13.5" thickBot="1" x14ac:dyDescent="0.45">
      <c r="A49" s="51" t="s">
        <v>16</v>
      </c>
      <c r="B49" s="52">
        <f>B48/B6</f>
        <v>781.43089219508784</v>
      </c>
      <c r="C49" s="36"/>
      <c r="D49" s="53"/>
      <c r="E49" s="54">
        <f>E48/($B$20)</f>
        <v>1.2888333333333333E-2</v>
      </c>
      <c r="F49" s="54">
        <f t="shared" ref="F49:AH49" si="53">F48/($B$20)</f>
        <v>1.38166195E-2</v>
      </c>
      <c r="G49" s="54">
        <f t="shared" si="53"/>
        <v>1.4752676130549989E-2</v>
      </c>
      <c r="H49" s="54">
        <f t="shared" si="53"/>
        <v>1.5696516404895191E-2</v>
      </c>
      <c r="I49" s="54">
        <f t="shared" si="53"/>
        <v>1.6648151833528149E-2</v>
      </c>
      <c r="J49" s="54">
        <f t="shared" si="53"/>
        <v>1.7607592197193711E-2</v>
      </c>
      <c r="K49" s="54">
        <f t="shared" si="53"/>
        <v>1.8574845484971427E-2</v>
      </c>
      <c r="L49" s="54">
        <f t="shared" si="53"/>
        <v>1.9549917830731105E-2</v>
      </c>
      <c r="M49" s="54">
        <f t="shared" si="53"/>
        <v>2.0532813447923706E-2</v>
      </c>
      <c r="N49" s="54">
        <f t="shared" si="53"/>
        <v>2.1523534562668388E-2</v>
      </c>
      <c r="O49" s="54">
        <f t="shared" si="53"/>
        <v>2.2522081345096045E-2</v>
      </c>
      <c r="P49" s="54">
        <f t="shared" si="53"/>
        <v>2.3528451838908518E-2</v>
      </c>
      <c r="Q49" s="54">
        <f t="shared" si="53"/>
        <v>2.4542641889111746E-2</v>
      </c>
      <c r="R49" s="54">
        <f t="shared" si="53"/>
        <v>2.5564645067880493E-2</v>
      </c>
      <c r="S49" s="54">
        <f t="shared" si="53"/>
        <v>2.6594452598511495E-2</v>
      </c>
      <c r="T49" s="54">
        <f t="shared" si="53"/>
        <v>2.7632053277419411E-2</v>
      </c>
      <c r="U49" s="54">
        <f t="shared" si="53"/>
        <v>2.8677433394131892E-2</v>
      </c>
      <c r="V49" s="54">
        <f t="shared" si="53"/>
        <v>2.9730576649235882E-2</v>
      </c>
      <c r="W49" s="54">
        <f t="shared" si="53"/>
        <v>3.0791464070228414E-2</v>
      </c>
      <c r="X49" s="54">
        <f t="shared" si="53"/>
        <v>3.1860073925223338E-2</v>
      </c>
      <c r="Y49" s="54">
        <f t="shared" si="53"/>
        <v>3.2936381634464378E-2</v>
      </c>
      <c r="Z49" s="54">
        <f t="shared" si="53"/>
        <v>3.4020359679593937E-2</v>
      </c>
      <c r="AA49" s="54">
        <f t="shared" si="53"/>
        <v>3.5111977510625815E-2</v>
      </c>
      <c r="AB49" s="54">
        <f t="shared" si="53"/>
        <v>3.6211201450569094E-2</v>
      </c>
      <c r="AC49" s="54">
        <f t="shared" si="53"/>
        <v>3.731799459764909E-2</v>
      </c>
      <c r="AD49" s="54">
        <f t="shared" si="53"/>
        <v>0</v>
      </c>
      <c r="AE49" s="54">
        <f t="shared" si="53"/>
        <v>0</v>
      </c>
      <c r="AF49" s="54">
        <f t="shared" si="53"/>
        <v>0</v>
      </c>
      <c r="AG49" s="54">
        <f t="shared" si="53"/>
        <v>0</v>
      </c>
      <c r="AH49" s="54">
        <f t="shared" si="53"/>
        <v>0</v>
      </c>
    </row>
    <row r="50" spans="1:35" s="2" customFormat="1" ht="13.5" thickTop="1" x14ac:dyDescent="0.4">
      <c r="A50" s="55" t="s">
        <v>31</v>
      </c>
      <c r="B50" s="56">
        <f>B49/((B20))</f>
        <v>2.6047696406502927E-2</v>
      </c>
      <c r="C50" s="36"/>
      <c r="D50" s="47" t="str">
        <f>"Community Fund ("&amp;TEXT(B16,"0%")&amp;")"</f>
        <v>Community Fund (5%)</v>
      </c>
      <c r="E50" s="44">
        <f>E46*($B$16)</f>
        <v>20.350000000000001</v>
      </c>
      <c r="F50" s="44">
        <f t="shared" ref="F50:AH50" si="54">F46*($B$16)</f>
        <v>21.815715000000001</v>
      </c>
      <c r="G50" s="44">
        <f t="shared" si="54"/>
        <v>23.293699153499986</v>
      </c>
      <c r="H50" s="44">
        <f t="shared" si="54"/>
        <v>24.783973270887145</v>
      </c>
      <c r="I50" s="44">
        <f t="shared" si="54"/>
        <v>26.286555526623399</v>
      </c>
      <c r="J50" s="44">
        <f t="shared" si="54"/>
        <v>27.801461363990075</v>
      </c>
      <c r="K50" s="44">
        <f t="shared" si="54"/>
        <v>29.328703397323309</v>
      </c>
      <c r="L50" s="44">
        <f t="shared" si="54"/>
        <v>30.868291311680697</v>
      </c>
      <c r="M50" s="44">
        <f t="shared" si="54"/>
        <v>32.420231759879542</v>
      </c>
      <c r="N50" s="44">
        <f t="shared" si="54"/>
        <v>33.984528256844833</v>
      </c>
      <c r="O50" s="44">
        <f t="shared" si="54"/>
        <v>35.561181071204281</v>
      </c>
      <c r="P50" s="44">
        <f t="shared" si="54"/>
        <v>37.150187114066078</v>
      </c>
      <c r="Q50" s="44">
        <f t="shared" si="54"/>
        <v>38.751539824913294</v>
      </c>
      <c r="R50" s="44">
        <f t="shared" si="54"/>
        <v>40.365229054548152</v>
      </c>
      <c r="S50" s="44">
        <f t="shared" si="54"/>
        <v>41.991240945018149</v>
      </c>
      <c r="T50" s="44">
        <f t="shared" si="54"/>
        <v>43.629557806451707</v>
      </c>
      <c r="U50" s="44">
        <f t="shared" si="54"/>
        <v>45.28015799073458</v>
      </c>
      <c r="V50" s="44">
        <f t="shared" si="54"/>
        <v>46.943015761951393</v>
      </c>
      <c r="W50" s="44">
        <f t="shared" si="54"/>
        <v>48.61810116351856</v>
      </c>
      <c r="X50" s="44">
        <f t="shared" si="54"/>
        <v>50.3053798819316</v>
      </c>
      <c r="Y50" s="44">
        <f t="shared" si="54"/>
        <v>52.004813107049017</v>
      </c>
      <c r="Z50" s="44">
        <f t="shared" si="54"/>
        <v>53.716357388832535</v>
      </c>
      <c r="AA50" s="44">
        <f t="shared" si="54"/>
        <v>55.439964490461811</v>
      </c>
      <c r="AB50" s="44">
        <f t="shared" si="54"/>
        <v>57.17558123774068</v>
      </c>
      <c r="AC50" s="44">
        <f t="shared" si="54"/>
        <v>58.923149364709097</v>
      </c>
      <c r="AD50" s="44">
        <f t="shared" si="54"/>
        <v>0</v>
      </c>
      <c r="AE50" s="44">
        <f t="shared" si="54"/>
        <v>0</v>
      </c>
      <c r="AF50" s="44">
        <f t="shared" si="54"/>
        <v>0</v>
      </c>
      <c r="AG50" s="44">
        <f t="shared" si="54"/>
        <v>0</v>
      </c>
      <c r="AH50" s="44">
        <f t="shared" si="54"/>
        <v>0</v>
      </c>
    </row>
    <row r="51" spans="1:35" s="2" customFormat="1" ht="13.15" x14ac:dyDescent="0.4">
      <c r="A51" s="57" t="s">
        <v>32</v>
      </c>
      <c r="B51" s="95">
        <f>(B46/B6)/B20</f>
        <v>2.4745311586177782E-2</v>
      </c>
      <c r="C51" s="36"/>
      <c r="D51" s="43"/>
      <c r="E51" s="48">
        <f>E50/($B$20)</f>
        <v>6.7833333333333341E-4</v>
      </c>
      <c r="F51" s="48">
        <f t="shared" ref="F51:AH51" si="55">F50/($B$20)</f>
        <v>7.2719050000000002E-4</v>
      </c>
      <c r="G51" s="48">
        <f t="shared" si="55"/>
        <v>7.7645663844999949E-4</v>
      </c>
      <c r="H51" s="48">
        <f t="shared" si="55"/>
        <v>8.2613244236290481E-4</v>
      </c>
      <c r="I51" s="48">
        <f t="shared" si="55"/>
        <v>8.7621851755411329E-4</v>
      </c>
      <c r="J51" s="48">
        <f t="shared" si="55"/>
        <v>9.267153787996692E-4</v>
      </c>
      <c r="K51" s="48">
        <f t="shared" si="55"/>
        <v>9.7762344657744359E-4</v>
      </c>
      <c r="L51" s="48">
        <f t="shared" si="55"/>
        <v>1.0289430437226898E-3</v>
      </c>
      <c r="M51" s="48">
        <f t="shared" si="55"/>
        <v>1.0806743919959847E-3</v>
      </c>
      <c r="N51" s="48">
        <f t="shared" si="55"/>
        <v>1.1328176085614943E-3</v>
      </c>
      <c r="O51" s="48">
        <f t="shared" si="55"/>
        <v>1.1853727023734761E-3</v>
      </c>
      <c r="P51" s="48">
        <f t="shared" si="55"/>
        <v>1.2383395704688692E-3</v>
      </c>
      <c r="Q51" s="48">
        <f t="shared" si="55"/>
        <v>1.2917179941637764E-3</v>
      </c>
      <c r="R51" s="48">
        <f t="shared" si="55"/>
        <v>1.345507635151605E-3</v>
      </c>
      <c r="S51" s="48">
        <f t="shared" si="55"/>
        <v>1.399708031500605E-3</v>
      </c>
      <c r="T51" s="48">
        <f t="shared" si="55"/>
        <v>1.4543185935483901E-3</v>
      </c>
      <c r="U51" s="48">
        <f t="shared" si="55"/>
        <v>1.5093385996911527E-3</v>
      </c>
      <c r="V51" s="48">
        <f t="shared" si="55"/>
        <v>1.5647671920650465E-3</v>
      </c>
      <c r="W51" s="48">
        <f t="shared" si="55"/>
        <v>1.6206033721172853E-3</v>
      </c>
      <c r="X51" s="48">
        <f t="shared" si="55"/>
        <v>1.6768459960643867E-3</v>
      </c>
      <c r="Y51" s="48">
        <f t="shared" si="55"/>
        <v>1.7334937702349672E-3</v>
      </c>
      <c r="Z51" s="48">
        <f t="shared" si="55"/>
        <v>1.7905452462944177E-3</v>
      </c>
      <c r="AA51" s="48">
        <f t="shared" si="55"/>
        <v>1.8479988163487271E-3</v>
      </c>
      <c r="AB51" s="48">
        <f t="shared" si="55"/>
        <v>1.9058527079246893E-3</v>
      </c>
      <c r="AC51" s="48">
        <f t="shared" si="55"/>
        <v>1.9641049788236367E-3</v>
      </c>
      <c r="AD51" s="48">
        <f t="shared" si="55"/>
        <v>0</v>
      </c>
      <c r="AE51" s="48">
        <f t="shared" si="55"/>
        <v>0</v>
      </c>
      <c r="AF51" s="48">
        <f t="shared" si="55"/>
        <v>0</v>
      </c>
      <c r="AG51" s="48">
        <f t="shared" si="55"/>
        <v>0</v>
      </c>
      <c r="AH51" s="48">
        <f t="shared" si="55"/>
        <v>0</v>
      </c>
    </row>
    <row r="52" spans="1:35" s="2" customFormat="1" ht="13.15" x14ac:dyDescent="0.4">
      <c r="A52" s="57" t="s">
        <v>33</v>
      </c>
      <c r="B52" s="56">
        <f>(B47/B6)/B20</f>
        <v>1.3023848203251463E-3</v>
      </c>
      <c r="C52" s="36"/>
    </row>
    <row r="53" spans="1:35" x14ac:dyDescent="0.45">
      <c r="A53" s="2"/>
      <c r="B53" s="2"/>
      <c r="C53" s="3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s="66" customFormat="1" x14ac:dyDescent="0.45">
      <c r="A54" s="2"/>
      <c r="B54" s="36"/>
      <c r="C54" s="36"/>
      <c r="D54" s="58" t="s">
        <v>64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2"/>
    </row>
    <row r="55" spans="1:35" s="66" customFormat="1" x14ac:dyDescent="0.45">
      <c r="A55" s="68"/>
      <c r="B55" s="69"/>
      <c r="C55" s="63"/>
      <c r="D55" s="59" t="s">
        <v>20</v>
      </c>
      <c r="E55" s="60">
        <f>IF(E3&gt;$B$6,0,-E37)</f>
        <v>1200</v>
      </c>
      <c r="F55" s="60">
        <f t="shared" ref="F55:AH55" si="56">IF(F3&gt;$B$6,0,-F37)</f>
        <v>1200</v>
      </c>
      <c r="G55" s="60">
        <f t="shared" si="56"/>
        <v>1200</v>
      </c>
      <c r="H55" s="60">
        <f t="shared" si="56"/>
        <v>1200</v>
      </c>
      <c r="I55" s="60">
        <f t="shared" si="56"/>
        <v>1200</v>
      </c>
      <c r="J55" s="60">
        <f t="shared" si="56"/>
        <v>1200</v>
      </c>
      <c r="K55" s="60">
        <f t="shared" si="56"/>
        <v>1200</v>
      </c>
      <c r="L55" s="60">
        <f t="shared" si="56"/>
        <v>1200</v>
      </c>
      <c r="M55" s="60">
        <f t="shared" si="56"/>
        <v>1200</v>
      </c>
      <c r="N55" s="60">
        <f t="shared" si="56"/>
        <v>1200</v>
      </c>
      <c r="O55" s="60">
        <f t="shared" si="56"/>
        <v>1200</v>
      </c>
      <c r="P55" s="60">
        <f t="shared" si="56"/>
        <v>1200</v>
      </c>
      <c r="Q55" s="60">
        <f t="shared" si="56"/>
        <v>1200</v>
      </c>
      <c r="R55" s="60">
        <f t="shared" si="56"/>
        <v>1200</v>
      </c>
      <c r="S55" s="60">
        <f t="shared" si="56"/>
        <v>1200</v>
      </c>
      <c r="T55" s="60">
        <f t="shared" si="56"/>
        <v>1200</v>
      </c>
      <c r="U55" s="60">
        <f t="shared" si="56"/>
        <v>1200</v>
      </c>
      <c r="V55" s="60">
        <f t="shared" si="56"/>
        <v>1200</v>
      </c>
      <c r="W55" s="60">
        <f t="shared" si="56"/>
        <v>1200</v>
      </c>
      <c r="X55" s="60">
        <f t="shared" si="56"/>
        <v>1200</v>
      </c>
      <c r="Y55" s="60">
        <f t="shared" si="56"/>
        <v>1200</v>
      </c>
      <c r="Z55" s="60">
        <f t="shared" si="56"/>
        <v>1200</v>
      </c>
      <c r="AA55" s="60">
        <f t="shared" si="56"/>
        <v>1200</v>
      </c>
      <c r="AB55" s="60">
        <f t="shared" si="56"/>
        <v>1200</v>
      </c>
      <c r="AC55" s="60">
        <f t="shared" si="56"/>
        <v>1200</v>
      </c>
      <c r="AD55" s="60">
        <f t="shared" si="56"/>
        <v>0</v>
      </c>
      <c r="AE55" s="60">
        <f t="shared" si="56"/>
        <v>0</v>
      </c>
      <c r="AF55" s="60">
        <f t="shared" si="56"/>
        <v>0</v>
      </c>
      <c r="AG55" s="60">
        <f t="shared" si="56"/>
        <v>0</v>
      </c>
      <c r="AH55" s="60">
        <f t="shared" si="56"/>
        <v>0</v>
      </c>
      <c r="AI55" s="2"/>
    </row>
    <row r="56" spans="1:35" x14ac:dyDescent="0.45">
      <c r="C56" s="66"/>
      <c r="D56" s="61" t="str">
        <f>"Interest @ "&amp;TEXT(B13,"0%")</f>
        <v>Interest @ 1%</v>
      </c>
      <c r="E56" s="60">
        <v>0</v>
      </c>
      <c r="F56" s="62">
        <f>IF(F3&gt;$B$6,0,E57*$B$13)</f>
        <v>12</v>
      </c>
      <c r="G56" s="62">
        <f t="shared" ref="G56:AH56" si="57">IF(G3&gt;$B$6,0,F57*$B$13)</f>
        <v>24.12</v>
      </c>
      <c r="H56" s="62">
        <f t="shared" si="57"/>
        <v>36.361199999999997</v>
      </c>
      <c r="I56" s="62">
        <f t="shared" si="57"/>
        <v>48.724812</v>
      </c>
      <c r="J56" s="62">
        <f t="shared" si="57"/>
        <v>61.212060120000004</v>
      </c>
      <c r="K56" s="62">
        <f t="shared" si="57"/>
        <v>73.824180721200008</v>
      </c>
      <c r="L56" s="62">
        <f t="shared" si="57"/>
        <v>86.562422528412014</v>
      </c>
      <c r="M56" s="62">
        <f t="shared" si="57"/>
        <v>99.428046753696123</v>
      </c>
      <c r="N56" s="62">
        <f t="shared" si="57"/>
        <v>112.42232722123309</v>
      </c>
      <c r="O56" s="62">
        <f t="shared" si="57"/>
        <v>125.54655049344541</v>
      </c>
      <c r="P56" s="62">
        <f t="shared" si="57"/>
        <v>138.80201599837986</v>
      </c>
      <c r="Q56" s="62">
        <f t="shared" si="57"/>
        <v>152.19003615836368</v>
      </c>
      <c r="R56" s="62">
        <f t="shared" si="57"/>
        <v>165.7119365199473</v>
      </c>
      <c r="S56" s="62">
        <f t="shared" si="57"/>
        <v>179.36905588514676</v>
      </c>
      <c r="T56" s="62">
        <f t="shared" si="57"/>
        <v>193.16274644399826</v>
      </c>
      <c r="U56" s="62">
        <f t="shared" si="57"/>
        <v>207.09437390843826</v>
      </c>
      <c r="V56" s="62">
        <f t="shared" si="57"/>
        <v>221.16531764752264</v>
      </c>
      <c r="W56" s="62">
        <f t="shared" si="57"/>
        <v>235.37697082399788</v>
      </c>
      <c r="X56" s="62">
        <f t="shared" si="57"/>
        <v>249.73074053223783</v>
      </c>
      <c r="Y56" s="62">
        <f t="shared" si="57"/>
        <v>264.22804793756023</v>
      </c>
      <c r="Z56" s="62">
        <f t="shared" si="57"/>
        <v>278.87032841693582</v>
      </c>
      <c r="AA56" s="62">
        <f t="shared" si="57"/>
        <v>293.65903170110516</v>
      </c>
      <c r="AB56" s="62">
        <f t="shared" si="57"/>
        <v>308.59562201811622</v>
      </c>
      <c r="AC56" s="62">
        <f t="shared" si="57"/>
        <v>323.68157823829739</v>
      </c>
      <c r="AD56" s="62">
        <f t="shared" si="57"/>
        <v>0</v>
      </c>
      <c r="AE56" s="62">
        <f t="shared" si="57"/>
        <v>0</v>
      </c>
      <c r="AF56" s="62">
        <f t="shared" si="57"/>
        <v>0</v>
      </c>
      <c r="AG56" s="62">
        <f t="shared" si="57"/>
        <v>0</v>
      </c>
      <c r="AH56" s="62">
        <f t="shared" si="57"/>
        <v>0</v>
      </c>
    </row>
    <row r="57" spans="1:35" x14ac:dyDescent="0.45">
      <c r="A57" s="65"/>
      <c r="B57" s="66"/>
      <c r="C57" s="66"/>
      <c r="D57" s="64" t="s">
        <v>34</v>
      </c>
      <c r="E57" s="60">
        <f>E55+E56</f>
        <v>1200</v>
      </c>
      <c r="F57" s="62">
        <f t="shared" ref="F57:X57" si="58">E57+F55+F56</f>
        <v>2412</v>
      </c>
      <c r="G57" s="62">
        <f t="shared" si="58"/>
        <v>3636.12</v>
      </c>
      <c r="H57" s="62">
        <f t="shared" si="58"/>
        <v>4872.4812000000002</v>
      </c>
      <c r="I57" s="62">
        <f t="shared" si="58"/>
        <v>6121.2060120000006</v>
      </c>
      <c r="J57" s="62">
        <f t="shared" si="58"/>
        <v>7382.4180721200009</v>
      </c>
      <c r="K57" s="62">
        <f t="shared" si="58"/>
        <v>8656.2422528412008</v>
      </c>
      <c r="L57" s="62">
        <f t="shared" si="58"/>
        <v>9942.8046753696126</v>
      </c>
      <c r="M57" s="62">
        <f t="shared" si="58"/>
        <v>11242.232722123308</v>
      </c>
      <c r="N57" s="62">
        <f t="shared" si="58"/>
        <v>12554.655049344541</v>
      </c>
      <c r="O57" s="62">
        <f t="shared" si="58"/>
        <v>13880.201599837987</v>
      </c>
      <c r="P57" s="62">
        <f t="shared" si="58"/>
        <v>15219.003615836367</v>
      </c>
      <c r="Q57" s="62">
        <f t="shared" si="58"/>
        <v>16571.19365199473</v>
      </c>
      <c r="R57" s="62">
        <f t="shared" si="58"/>
        <v>17936.905588514677</v>
      </c>
      <c r="S57" s="62">
        <f t="shared" si="58"/>
        <v>19316.274644399826</v>
      </c>
      <c r="T57" s="62">
        <f t="shared" si="58"/>
        <v>20709.437390843825</v>
      </c>
      <c r="U57" s="62">
        <f t="shared" si="58"/>
        <v>22116.531764752264</v>
      </c>
      <c r="V57" s="62">
        <f t="shared" si="58"/>
        <v>23537.697082399787</v>
      </c>
      <c r="W57" s="62">
        <f t="shared" si="58"/>
        <v>24973.074053223783</v>
      </c>
      <c r="X57" s="62">
        <f t="shared" si="58"/>
        <v>26422.804793756022</v>
      </c>
      <c r="Y57" s="62">
        <f t="shared" ref="Y57" si="59">X57+Y55+Y56</f>
        <v>27887.032841693581</v>
      </c>
      <c r="Z57" s="62">
        <f t="shared" ref="Z57" si="60">Y57+Z55+Z56</f>
        <v>29365.903170110516</v>
      </c>
      <c r="AA57" s="62">
        <f t="shared" ref="AA57" si="61">Z57+AA55+AA56</f>
        <v>30859.562201811623</v>
      </c>
      <c r="AB57" s="62">
        <f t="shared" ref="AB57" si="62">AA57+AB55+AB56</f>
        <v>32368.157823829741</v>
      </c>
      <c r="AC57" s="62">
        <f t="shared" ref="AC57" si="63">AB57+AC55+AC56</f>
        <v>33891.839402068035</v>
      </c>
      <c r="AD57" s="62">
        <f t="shared" ref="AD57" si="64">AC57+AD55+AD56</f>
        <v>33891.839402068035</v>
      </c>
      <c r="AE57" s="62">
        <f t="shared" ref="AE57" si="65">AD57+AE55+AE56</f>
        <v>33891.839402068035</v>
      </c>
      <c r="AF57" s="62">
        <f t="shared" ref="AF57" si="66">AE57+AF55+AF56</f>
        <v>33891.839402068035</v>
      </c>
      <c r="AG57" s="62">
        <f t="shared" ref="AG57" si="67">AF57+AG55+AG56</f>
        <v>33891.839402068035</v>
      </c>
      <c r="AH57" s="62">
        <f t="shared" ref="AH57" si="68">AG57+AH55+AH56</f>
        <v>33891.839402068035</v>
      </c>
      <c r="AI57" s="66"/>
    </row>
    <row r="58" spans="1:35" x14ac:dyDescent="0.45">
      <c r="A58" s="66"/>
      <c r="B58" s="66"/>
      <c r="D58" s="64" t="s">
        <v>37</v>
      </c>
      <c r="E58" s="60">
        <f>B20-E55</f>
        <v>28800</v>
      </c>
      <c r="F58" s="62">
        <f>E58-F55</f>
        <v>27600</v>
      </c>
      <c r="G58" s="62">
        <f t="shared" ref="G58:X58" si="69">F58-G55</f>
        <v>26400</v>
      </c>
      <c r="H58" s="62">
        <f t="shared" si="69"/>
        <v>25200</v>
      </c>
      <c r="I58" s="62">
        <f t="shared" si="69"/>
        <v>24000</v>
      </c>
      <c r="J58" s="62">
        <f t="shared" si="69"/>
        <v>22800</v>
      </c>
      <c r="K58" s="62">
        <f t="shared" si="69"/>
        <v>21600</v>
      </c>
      <c r="L58" s="62">
        <f t="shared" si="69"/>
        <v>20400</v>
      </c>
      <c r="M58" s="62">
        <f t="shared" si="69"/>
        <v>19200</v>
      </c>
      <c r="N58" s="62">
        <f t="shared" si="69"/>
        <v>18000</v>
      </c>
      <c r="O58" s="62">
        <f t="shared" si="69"/>
        <v>16800</v>
      </c>
      <c r="P58" s="62">
        <f t="shared" si="69"/>
        <v>15600</v>
      </c>
      <c r="Q58" s="62">
        <f t="shared" si="69"/>
        <v>14400</v>
      </c>
      <c r="R58" s="62">
        <f t="shared" si="69"/>
        <v>13200</v>
      </c>
      <c r="S58" s="62">
        <f t="shared" si="69"/>
        <v>12000</v>
      </c>
      <c r="T58" s="62">
        <f t="shared" si="69"/>
        <v>10800</v>
      </c>
      <c r="U58" s="62">
        <f t="shared" si="69"/>
        <v>9600</v>
      </c>
      <c r="V58" s="62">
        <f t="shared" si="69"/>
        <v>8400</v>
      </c>
      <c r="W58" s="62">
        <f t="shared" si="69"/>
        <v>7200</v>
      </c>
      <c r="X58" s="62">
        <f t="shared" si="69"/>
        <v>6000</v>
      </c>
      <c r="Y58" s="62">
        <f t="shared" ref="Y58" si="70">X58-Y55</f>
        <v>4800</v>
      </c>
      <c r="Z58" s="62">
        <f t="shared" ref="Z58" si="71">Y58-Z55</f>
        <v>3600</v>
      </c>
      <c r="AA58" s="62">
        <f t="shared" ref="AA58" si="72">Z58-AA55</f>
        <v>2400</v>
      </c>
      <c r="AB58" s="62">
        <f t="shared" ref="AB58" si="73">AA58-AB55</f>
        <v>1200</v>
      </c>
      <c r="AC58" s="62">
        <f t="shared" ref="AC58" si="74">AB58-AC55</f>
        <v>0</v>
      </c>
      <c r="AD58" s="62">
        <f t="shared" ref="AD58" si="75">AC58-AD55</f>
        <v>0</v>
      </c>
      <c r="AE58" s="62">
        <f t="shared" ref="AE58" si="76">AD58-AE55</f>
        <v>0</v>
      </c>
      <c r="AF58" s="62">
        <f t="shared" ref="AF58" si="77">AE58-AF55</f>
        <v>0</v>
      </c>
      <c r="AG58" s="62">
        <f t="shared" ref="AG58" si="78">AF58-AG55</f>
        <v>0</v>
      </c>
      <c r="AH58" s="62">
        <f t="shared" ref="AH58" si="79">AG58-AH55</f>
        <v>0</v>
      </c>
      <c r="AI58" s="66"/>
    </row>
    <row r="59" spans="1:35" x14ac:dyDescent="0.45">
      <c r="D59" s="29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</row>
    <row r="60" spans="1:35" x14ac:dyDescent="0.45">
      <c r="D60" s="58" t="s">
        <v>40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</row>
    <row r="61" spans="1:35" x14ac:dyDescent="0.45">
      <c r="D61" s="59" t="s">
        <v>41</v>
      </c>
      <c r="E61" s="60">
        <f>IF(E3&gt;$B$6,0,-E35)</f>
        <v>500</v>
      </c>
      <c r="F61" s="60">
        <f t="shared" ref="F61:AH61" si="80">IF(F3&gt;$B$6,0,-F35)</f>
        <v>510</v>
      </c>
      <c r="G61" s="60">
        <f t="shared" si="80"/>
        <v>520.20000000000005</v>
      </c>
      <c r="H61" s="60">
        <f t="shared" si="80"/>
        <v>530.60400000000004</v>
      </c>
      <c r="I61" s="60">
        <f t="shared" si="80"/>
        <v>541.21608000000003</v>
      </c>
      <c r="J61" s="60">
        <f t="shared" si="80"/>
        <v>552.0404016</v>
      </c>
      <c r="K61" s="60">
        <f t="shared" si="80"/>
        <v>563.08120963199997</v>
      </c>
      <c r="L61" s="60">
        <f t="shared" si="80"/>
        <v>574.34283382464002</v>
      </c>
      <c r="M61" s="60">
        <f t="shared" si="80"/>
        <v>585.82969050113286</v>
      </c>
      <c r="N61" s="60">
        <f t="shared" si="80"/>
        <v>597.54628431115555</v>
      </c>
      <c r="O61" s="60">
        <f t="shared" si="80"/>
        <v>609.49720999737872</v>
      </c>
      <c r="P61" s="60">
        <f t="shared" si="80"/>
        <v>621.68715419732632</v>
      </c>
      <c r="Q61" s="60">
        <f t="shared" si="80"/>
        <v>634.12089728127285</v>
      </c>
      <c r="R61" s="60">
        <f t="shared" si="80"/>
        <v>646.80331522689835</v>
      </c>
      <c r="S61" s="60">
        <f t="shared" si="80"/>
        <v>659.73938153143638</v>
      </c>
      <c r="T61" s="60">
        <f t="shared" si="80"/>
        <v>672.93416916206513</v>
      </c>
      <c r="U61" s="60">
        <f t="shared" si="80"/>
        <v>686.39285254530648</v>
      </c>
      <c r="V61" s="60">
        <f t="shared" si="80"/>
        <v>700.12070959621258</v>
      </c>
      <c r="W61" s="60">
        <f t="shared" si="80"/>
        <v>714.12312378813681</v>
      </c>
      <c r="X61" s="60">
        <f t="shared" si="80"/>
        <v>728.40558626389952</v>
      </c>
      <c r="Y61" s="60">
        <f t="shared" si="80"/>
        <v>742.97369798917748</v>
      </c>
      <c r="Z61" s="60">
        <f t="shared" si="80"/>
        <v>757.83317194896108</v>
      </c>
      <c r="AA61" s="60">
        <f t="shared" si="80"/>
        <v>772.98983538794027</v>
      </c>
      <c r="AB61" s="60">
        <f t="shared" si="80"/>
        <v>788.44963209569914</v>
      </c>
      <c r="AC61" s="60">
        <f t="shared" si="80"/>
        <v>804.21862473761314</v>
      </c>
      <c r="AD61" s="60">
        <f t="shared" si="80"/>
        <v>0</v>
      </c>
      <c r="AE61" s="60">
        <f t="shared" si="80"/>
        <v>0</v>
      </c>
      <c r="AF61" s="60">
        <f t="shared" si="80"/>
        <v>0</v>
      </c>
      <c r="AG61" s="60">
        <f t="shared" si="80"/>
        <v>0</v>
      </c>
      <c r="AH61" s="60">
        <f t="shared" si="80"/>
        <v>0</v>
      </c>
    </row>
    <row r="62" spans="1:35" x14ac:dyDescent="0.45">
      <c r="D62" s="61" t="str">
        <f>"Interest @ "&amp;TEXT(B13,"0%")</f>
        <v>Interest @ 1%</v>
      </c>
      <c r="E62" s="60">
        <v>0</v>
      </c>
      <c r="F62" s="62">
        <f>IF(F3&gt;$B$6,0,E63*$B$13)</f>
        <v>5</v>
      </c>
      <c r="G62" s="62">
        <f t="shared" ref="G62:AH62" si="81">IF(G3&gt;$B$6,0,F63*$B$13)</f>
        <v>10.15</v>
      </c>
      <c r="H62" s="62">
        <f t="shared" si="81"/>
        <v>15.453500000000002</v>
      </c>
      <c r="I62" s="62">
        <f t="shared" si="81"/>
        <v>20.914075000000004</v>
      </c>
      <c r="J62" s="62">
        <f t="shared" si="81"/>
        <v>26.535376550000006</v>
      </c>
      <c r="K62" s="62">
        <f t="shared" si="81"/>
        <v>32.321134331500005</v>
      </c>
      <c r="L62" s="62">
        <f t="shared" si="81"/>
        <v>38.275157771135007</v>
      </c>
      <c r="M62" s="62">
        <f t="shared" si="81"/>
        <v>44.401337687092756</v>
      </c>
      <c r="N62" s="62">
        <f t="shared" si="81"/>
        <v>50.703647968975012</v>
      </c>
      <c r="O62" s="62">
        <f t="shared" si="81"/>
        <v>57.186147291776315</v>
      </c>
      <c r="P62" s="62">
        <f t="shared" si="81"/>
        <v>8.8529808646678614</v>
      </c>
      <c r="Q62" s="62">
        <f t="shared" si="81"/>
        <v>15.158382215287805</v>
      </c>
      <c r="R62" s="62">
        <f t="shared" si="81"/>
        <v>21.651175010253411</v>
      </c>
      <c r="S62" s="62">
        <f t="shared" si="81"/>
        <v>28.335719912624928</v>
      </c>
      <c r="T62" s="62">
        <f t="shared" si="81"/>
        <v>35.216470927065537</v>
      </c>
      <c r="U62" s="62">
        <f t="shared" si="81"/>
        <v>42.297977327956843</v>
      </c>
      <c r="V62" s="62">
        <f t="shared" si="81"/>
        <v>49.584885626689477</v>
      </c>
      <c r="W62" s="62">
        <f t="shared" si="81"/>
        <v>57.081941578918496</v>
      </c>
      <c r="X62" s="62">
        <f t="shared" si="81"/>
        <v>64.793992232589048</v>
      </c>
      <c r="Y62" s="62">
        <f t="shared" si="81"/>
        <v>72.725988017553931</v>
      </c>
      <c r="Z62" s="62">
        <f t="shared" si="81"/>
        <v>0.88298487762124755</v>
      </c>
      <c r="AA62" s="62">
        <f t="shared" si="81"/>
        <v>8.470146445887071</v>
      </c>
      <c r="AB62" s="62">
        <f t="shared" si="81"/>
        <v>16.284746264225348</v>
      </c>
      <c r="AC62" s="62">
        <f t="shared" si="81"/>
        <v>24.33209004782459</v>
      </c>
      <c r="AD62" s="62">
        <f t="shared" si="81"/>
        <v>0</v>
      </c>
      <c r="AE62" s="62">
        <f t="shared" si="81"/>
        <v>0</v>
      </c>
      <c r="AF62" s="62">
        <f t="shared" si="81"/>
        <v>0</v>
      </c>
      <c r="AG62" s="62">
        <f t="shared" si="81"/>
        <v>0</v>
      </c>
      <c r="AH62" s="62">
        <f t="shared" si="81"/>
        <v>0</v>
      </c>
    </row>
    <row r="63" spans="1:35" ht="14.65" thickBot="1" x14ac:dyDescent="0.5">
      <c r="D63" s="64" t="s">
        <v>34</v>
      </c>
      <c r="E63" s="60">
        <f>E61+E62</f>
        <v>500</v>
      </c>
      <c r="F63" s="62">
        <f>E63+F61+F62-E64</f>
        <v>1015</v>
      </c>
      <c r="G63" s="62">
        <f t="shared" ref="G63:AH63" si="82">F63+G61+G62-F64</f>
        <v>1545.3500000000001</v>
      </c>
      <c r="H63" s="62">
        <f t="shared" si="82"/>
        <v>2091.4075000000003</v>
      </c>
      <c r="I63" s="62">
        <f t="shared" si="82"/>
        <v>2653.5376550000005</v>
      </c>
      <c r="J63" s="62">
        <f t="shared" si="82"/>
        <v>3232.1134331500002</v>
      </c>
      <c r="K63" s="62">
        <f t="shared" si="82"/>
        <v>3827.5157771135005</v>
      </c>
      <c r="L63" s="62">
        <f t="shared" si="82"/>
        <v>4440.1337687092755</v>
      </c>
      <c r="M63" s="62">
        <f t="shared" si="82"/>
        <v>5070.364796897501</v>
      </c>
      <c r="N63" s="62">
        <f t="shared" si="82"/>
        <v>5718.6147291776315</v>
      </c>
      <c r="O63" s="62">
        <f t="shared" si="82"/>
        <v>885.29808646678612</v>
      </c>
      <c r="P63" s="62">
        <f t="shared" si="82"/>
        <v>1515.8382215287804</v>
      </c>
      <c r="Q63" s="62">
        <f t="shared" si="82"/>
        <v>2165.117501025341</v>
      </c>
      <c r="R63" s="62">
        <f t="shared" si="82"/>
        <v>2833.5719912624927</v>
      </c>
      <c r="S63" s="62">
        <f t="shared" si="82"/>
        <v>3521.6470927065538</v>
      </c>
      <c r="T63" s="62">
        <f t="shared" si="82"/>
        <v>4229.7977327956842</v>
      </c>
      <c r="U63" s="62">
        <f t="shared" si="82"/>
        <v>4958.4885626689475</v>
      </c>
      <c r="V63" s="62">
        <f t="shared" si="82"/>
        <v>5708.1941578918495</v>
      </c>
      <c r="W63" s="62">
        <f t="shared" si="82"/>
        <v>6479.3992232589044</v>
      </c>
      <c r="X63" s="62">
        <f t="shared" si="82"/>
        <v>7272.5988017553927</v>
      </c>
      <c r="Y63" s="62">
        <f t="shared" si="82"/>
        <v>88.298487762124751</v>
      </c>
      <c r="Z63" s="62">
        <f t="shared" si="82"/>
        <v>847.01464458870703</v>
      </c>
      <c r="AA63" s="62">
        <f t="shared" si="82"/>
        <v>1628.4746264225346</v>
      </c>
      <c r="AB63" s="62">
        <f t="shared" si="82"/>
        <v>2433.209004782459</v>
      </c>
      <c r="AC63" s="62">
        <f t="shared" si="82"/>
        <v>3261.7597195678968</v>
      </c>
      <c r="AD63" s="62">
        <f t="shared" si="82"/>
        <v>3261.7597195678968</v>
      </c>
      <c r="AE63" s="62">
        <f t="shared" si="82"/>
        <v>3261.7597195678968</v>
      </c>
      <c r="AF63" s="62">
        <f t="shared" si="82"/>
        <v>3261.7597195678968</v>
      </c>
      <c r="AG63" s="62">
        <f t="shared" si="82"/>
        <v>3261.7597195678968</v>
      </c>
      <c r="AH63" s="62">
        <f t="shared" si="82"/>
        <v>3261.7597195678968</v>
      </c>
    </row>
    <row r="64" spans="1:35" ht="14.65" thickBot="1" x14ac:dyDescent="0.5">
      <c r="D64" s="64" t="s">
        <v>42</v>
      </c>
      <c r="E64" s="60"/>
      <c r="F64" s="62"/>
      <c r="G64" s="62"/>
      <c r="H64" s="62"/>
      <c r="I64" s="62"/>
      <c r="J64" s="62"/>
      <c r="K64" s="62"/>
      <c r="L64" s="62"/>
      <c r="M64" s="62"/>
      <c r="N64" s="96">
        <v>5500</v>
      </c>
      <c r="O64" s="62"/>
      <c r="P64" s="62"/>
      <c r="Q64" s="62"/>
      <c r="R64" s="62"/>
      <c r="S64" s="62"/>
      <c r="T64" s="62"/>
      <c r="U64" s="62"/>
      <c r="V64" s="62"/>
      <c r="W64" s="62"/>
      <c r="X64" s="96">
        <v>8000</v>
      </c>
      <c r="Y64" s="62"/>
      <c r="Z64" s="62"/>
      <c r="AA64" s="62"/>
      <c r="AB64" s="62"/>
      <c r="AC64" s="62"/>
      <c r="AD64" s="62"/>
      <c r="AE64" s="62"/>
      <c r="AF64" s="62"/>
      <c r="AG64" s="62"/>
      <c r="AH64" s="96">
        <v>8000</v>
      </c>
    </row>
    <row r="66" spans="1:34" x14ac:dyDescent="0.45">
      <c r="A66" s="90" t="s">
        <v>68</v>
      </c>
      <c r="B66" s="72"/>
      <c r="D66" s="70" t="s">
        <v>67</v>
      </c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</row>
    <row r="67" spans="1:34" x14ac:dyDescent="0.45">
      <c r="A67" s="72" t="s">
        <v>66</v>
      </c>
      <c r="B67" s="74">
        <f>IRR(D67:AH67)</f>
        <v>2.4699139530950598E-2</v>
      </c>
      <c r="D67" s="72">
        <f>-B20</f>
        <v>-30000</v>
      </c>
      <c r="E67" s="73">
        <f>E46+IF(E3=$B$6,$B$20,0)</f>
        <v>407</v>
      </c>
      <c r="F67" s="73">
        <f t="shared" ref="F67:AH67" si="83">F46+IF(F3=$B$6,$B$20,0)</f>
        <v>436.3143</v>
      </c>
      <c r="G67" s="73">
        <f t="shared" si="83"/>
        <v>465.87398306999967</v>
      </c>
      <c r="H67" s="73">
        <f t="shared" si="83"/>
        <v>495.6794654177429</v>
      </c>
      <c r="I67" s="73">
        <f t="shared" si="83"/>
        <v>525.73111053246794</v>
      </c>
      <c r="J67" s="73">
        <f t="shared" si="83"/>
        <v>556.02922727980149</v>
      </c>
      <c r="K67" s="73">
        <f t="shared" si="83"/>
        <v>586.57406794646613</v>
      </c>
      <c r="L67" s="73">
        <f t="shared" si="83"/>
        <v>617.36582623361392</v>
      </c>
      <c r="M67" s="73">
        <f t="shared" si="83"/>
        <v>648.40463519759078</v>
      </c>
      <c r="N67" s="73">
        <f t="shared" si="83"/>
        <v>679.69056513689657</v>
      </c>
      <c r="O67" s="73">
        <f t="shared" si="83"/>
        <v>711.22362142408565</v>
      </c>
      <c r="P67" s="73">
        <f t="shared" si="83"/>
        <v>743.00374228132159</v>
      </c>
      <c r="Q67" s="73">
        <f t="shared" si="83"/>
        <v>775.03079649826577</v>
      </c>
      <c r="R67" s="73">
        <f t="shared" si="83"/>
        <v>807.30458109096298</v>
      </c>
      <c r="S67" s="73">
        <f t="shared" si="83"/>
        <v>839.82481890036297</v>
      </c>
      <c r="T67" s="73">
        <f t="shared" si="83"/>
        <v>872.59115612903406</v>
      </c>
      <c r="U67" s="73">
        <f t="shared" si="83"/>
        <v>905.60315981469148</v>
      </c>
      <c r="V67" s="73">
        <f t="shared" si="83"/>
        <v>938.86031523902784</v>
      </c>
      <c r="W67" s="73">
        <f t="shared" si="83"/>
        <v>972.36202327037108</v>
      </c>
      <c r="X67" s="73">
        <f t="shared" si="83"/>
        <v>1006.1075976386319</v>
      </c>
      <c r="Y67" s="73">
        <f t="shared" si="83"/>
        <v>1040.0962621409803</v>
      </c>
      <c r="Z67" s="73">
        <f t="shared" si="83"/>
        <v>1074.3271477766507</v>
      </c>
      <c r="AA67" s="73">
        <f t="shared" si="83"/>
        <v>1108.7992898092361</v>
      </c>
      <c r="AB67" s="73">
        <f t="shared" si="83"/>
        <v>1143.5116247548135</v>
      </c>
      <c r="AC67" s="73">
        <f t="shared" si="83"/>
        <v>31178.46298729418</v>
      </c>
      <c r="AD67" s="73">
        <f t="shared" si="83"/>
        <v>0</v>
      </c>
      <c r="AE67" s="73">
        <f t="shared" si="83"/>
        <v>0</v>
      </c>
      <c r="AF67" s="73">
        <f t="shared" si="83"/>
        <v>0</v>
      </c>
      <c r="AG67" s="73">
        <f t="shared" si="83"/>
        <v>0</v>
      </c>
      <c r="AH67" s="73">
        <f t="shared" si="83"/>
        <v>0</v>
      </c>
    </row>
    <row r="68" spans="1:34" x14ac:dyDescent="0.45">
      <c r="A68" s="75" t="s">
        <v>49</v>
      </c>
      <c r="B68" s="74">
        <f>IRR(D68:AH68)</f>
        <v>2.3523651455935157E-2</v>
      </c>
      <c r="D68" s="72">
        <f>-B20</f>
        <v>-30000</v>
      </c>
      <c r="E68" s="73">
        <f>E48+IF(E3=$B$6,$B$20,0)</f>
        <v>386.65</v>
      </c>
      <c r="F68" s="73">
        <f t="shared" ref="F68:AH68" si="84">F48+IF(F3=$B$6,$B$20,0)</f>
        <v>414.49858499999999</v>
      </c>
      <c r="G68" s="73">
        <f t="shared" si="84"/>
        <v>442.58028391649964</v>
      </c>
      <c r="H68" s="73">
        <f t="shared" si="84"/>
        <v>470.89549214685576</v>
      </c>
      <c r="I68" s="73">
        <f t="shared" si="84"/>
        <v>499.44455500584451</v>
      </c>
      <c r="J68" s="73">
        <f t="shared" si="84"/>
        <v>528.22776591581135</v>
      </c>
      <c r="K68" s="73">
        <f t="shared" si="84"/>
        <v>557.24536454914278</v>
      </c>
      <c r="L68" s="73">
        <f t="shared" si="84"/>
        <v>586.49753492193315</v>
      </c>
      <c r="M68" s="73">
        <f t="shared" si="84"/>
        <v>615.98440343771119</v>
      </c>
      <c r="N68" s="73">
        <f t="shared" si="84"/>
        <v>645.70603688005167</v>
      </c>
      <c r="O68" s="73">
        <f t="shared" si="84"/>
        <v>675.66244035288139</v>
      </c>
      <c r="P68" s="73">
        <f t="shared" si="84"/>
        <v>705.85355516725554</v>
      </c>
      <c r="Q68" s="73">
        <f t="shared" si="84"/>
        <v>736.27925667335239</v>
      </c>
      <c r="R68" s="73">
        <f t="shared" si="84"/>
        <v>766.93935203641479</v>
      </c>
      <c r="S68" s="73">
        <f t="shared" si="84"/>
        <v>797.83357795534482</v>
      </c>
      <c r="T68" s="73">
        <f t="shared" si="84"/>
        <v>828.96159832258229</v>
      </c>
      <c r="U68" s="73">
        <f t="shared" si="84"/>
        <v>860.32300182395682</v>
      </c>
      <c r="V68" s="73">
        <f t="shared" si="84"/>
        <v>891.91729947707643</v>
      </c>
      <c r="W68" s="73">
        <f t="shared" si="84"/>
        <v>923.74392210685244</v>
      </c>
      <c r="X68" s="73">
        <f t="shared" si="84"/>
        <v>955.8022177567002</v>
      </c>
      <c r="Y68" s="73">
        <f t="shared" si="84"/>
        <v>988.09144903393133</v>
      </c>
      <c r="Z68" s="73">
        <f t="shared" si="84"/>
        <v>1020.6107903878182</v>
      </c>
      <c r="AA68" s="73">
        <f t="shared" si="84"/>
        <v>1053.3593253187744</v>
      </c>
      <c r="AB68" s="73">
        <f t="shared" si="84"/>
        <v>1086.3360435170728</v>
      </c>
      <c r="AC68" s="73">
        <f t="shared" si="84"/>
        <v>31119.539837929471</v>
      </c>
      <c r="AD68" s="73">
        <f t="shared" si="84"/>
        <v>0</v>
      </c>
      <c r="AE68" s="73">
        <f t="shared" si="84"/>
        <v>0</v>
      </c>
      <c r="AF68" s="73">
        <f t="shared" si="84"/>
        <v>0</v>
      </c>
      <c r="AG68" s="73">
        <f t="shared" si="84"/>
        <v>0</v>
      </c>
      <c r="AH68" s="73">
        <f t="shared" si="84"/>
        <v>0</v>
      </c>
    </row>
    <row r="69" spans="1:34" x14ac:dyDescent="0.45"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</row>
    <row r="72" spans="1:34" x14ac:dyDescent="0.45"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</row>
    <row r="73" spans="1:34" x14ac:dyDescent="0.45"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</row>
    <row r="74" spans="1:34" x14ac:dyDescent="0.45"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</row>
    <row r="75" spans="1:34" x14ac:dyDescent="0.45"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</row>
    <row r="76" spans="1:34" ht="14.25" customHeight="1" x14ac:dyDescent="0.45"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</row>
    <row r="77" spans="1:34" x14ac:dyDescent="0.45"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</row>
    <row r="78" spans="1:34" x14ac:dyDescent="0.45"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</row>
    <row r="79" spans="1:34" x14ac:dyDescent="0.45"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</row>
    <row r="80" spans="1:34" x14ac:dyDescent="0.45"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</row>
    <row r="81" spans="3:29" x14ac:dyDescent="0.45"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</row>
    <row r="82" spans="3:29" x14ac:dyDescent="0.45"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</row>
    <row r="83" spans="3:29" x14ac:dyDescent="0.45"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</row>
    <row r="84" spans="3:29" x14ac:dyDescent="0.45"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</row>
    <row r="85" spans="3:29" x14ac:dyDescent="0.45"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</row>
    <row r="86" spans="3:29" x14ac:dyDescent="0.45"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</row>
    <row r="87" spans="3:29" x14ac:dyDescent="0.45"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</row>
    <row r="88" spans="3:29" x14ac:dyDescent="0.45"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</row>
    <row r="89" spans="3:29" x14ac:dyDescent="0.45"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</row>
    <row r="90" spans="3:29" x14ac:dyDescent="0.45"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</row>
    <row r="91" spans="3:29" ht="14.25" customHeight="1" x14ac:dyDescent="0.45"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</row>
    <row r="92" spans="3:29" x14ac:dyDescent="0.45"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</row>
    <row r="93" spans="3:29" x14ac:dyDescent="0.45"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</row>
    <row r="94" spans="3:29" x14ac:dyDescent="0.45"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</row>
    <row r="95" spans="3:29" x14ac:dyDescent="0.45"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</row>
    <row r="96" spans="3:29" x14ac:dyDescent="0.45"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</row>
    <row r="97" spans="3:29" x14ac:dyDescent="0.45"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</row>
    <row r="98" spans="3:29" x14ac:dyDescent="0.45"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</row>
    <row r="99" spans="3:29" x14ac:dyDescent="0.45"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</row>
    <row r="100" spans="3:29" x14ac:dyDescent="0.45"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</row>
    <row r="101" spans="3:29" x14ac:dyDescent="0.45"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</row>
    <row r="102" spans="3:29" x14ac:dyDescent="0.45"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</row>
    <row r="103" spans="3:29" x14ac:dyDescent="0.45"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</row>
    <row r="104" spans="3:29" x14ac:dyDescent="0.45"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</row>
    <row r="105" spans="3:29" x14ac:dyDescent="0.45"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</row>
    <row r="106" spans="3:29" ht="14.25" customHeight="1" x14ac:dyDescent="0.45"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</row>
    <row r="107" spans="3:29" x14ac:dyDescent="0.45"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</row>
    <row r="108" spans="3:29" x14ac:dyDescent="0.45"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</row>
    <row r="109" spans="3:29" x14ac:dyDescent="0.45"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</row>
    <row r="110" spans="3:29" x14ac:dyDescent="0.45"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</row>
    <row r="111" spans="3:29" x14ac:dyDescent="0.45"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</row>
    <row r="112" spans="3:29" x14ac:dyDescent="0.45"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</row>
    <row r="113" spans="3:29" x14ac:dyDescent="0.45"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</row>
    <row r="114" spans="3:29" x14ac:dyDescent="0.45"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</row>
    <row r="115" spans="3:29" x14ac:dyDescent="0.45"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</row>
    <row r="116" spans="3:29" x14ac:dyDescent="0.45"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</row>
    <row r="117" spans="3:29" x14ac:dyDescent="0.45"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</row>
    <row r="118" spans="3:29" x14ac:dyDescent="0.45"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</row>
    <row r="119" spans="3:29" x14ac:dyDescent="0.45"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</row>
    <row r="120" spans="3:29" x14ac:dyDescent="0.45"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</row>
    <row r="121" spans="3:29" x14ac:dyDescent="0.45"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</row>
    <row r="122" spans="3:29" x14ac:dyDescent="0.45"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</row>
    <row r="123" spans="3:29" x14ac:dyDescent="0.45"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</row>
    <row r="124" spans="3:29" x14ac:dyDescent="0.45"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</row>
    <row r="125" spans="3:29" x14ac:dyDescent="0.45"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</row>
    <row r="126" spans="3:29" x14ac:dyDescent="0.45"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</row>
    <row r="127" spans="3:29" x14ac:dyDescent="0.45"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</row>
    <row r="128" spans="3:29" x14ac:dyDescent="0.45"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</row>
    <row r="129" spans="3:29" x14ac:dyDescent="0.45"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</row>
    <row r="130" spans="3:29" x14ac:dyDescent="0.45"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</row>
    <row r="131" spans="3:29" x14ac:dyDescent="0.45"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</row>
    <row r="132" spans="3:29" x14ac:dyDescent="0.45"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</row>
    <row r="133" spans="3:29" x14ac:dyDescent="0.45"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</row>
    <row r="134" spans="3:29" x14ac:dyDescent="0.45"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</row>
    <row r="135" spans="3:29" x14ac:dyDescent="0.45"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</row>
    <row r="136" spans="3:29" x14ac:dyDescent="0.45"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</row>
    <row r="137" spans="3:29" x14ac:dyDescent="0.45"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</row>
    <row r="138" spans="3:29" x14ac:dyDescent="0.45"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</row>
    <row r="139" spans="3:29" x14ac:dyDescent="0.45"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</row>
    <row r="140" spans="3:29" x14ac:dyDescent="0.45"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</row>
    <row r="141" spans="3:29" x14ac:dyDescent="0.45"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</row>
    <row r="142" spans="3:29" x14ac:dyDescent="0.45"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</row>
    <row r="143" spans="3:29" x14ac:dyDescent="0.45"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</row>
    <row r="144" spans="3:29" x14ac:dyDescent="0.45"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</row>
    <row r="145" spans="3:29" x14ac:dyDescent="0.45"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</row>
    <row r="146" spans="3:29" x14ac:dyDescent="0.45"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</row>
    <row r="147" spans="3:29" x14ac:dyDescent="0.45"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6B824-A189-46CC-B255-6CF94F06C3F0}">
  <dimension ref="A1:AI109"/>
  <sheetViews>
    <sheetView zoomScaleNormal="100" workbookViewId="0">
      <selection activeCell="B66" sqref="B66:AC142"/>
    </sheetView>
  </sheetViews>
  <sheetFormatPr defaultColWidth="9.1328125" defaultRowHeight="14.25" x14ac:dyDescent="0.45"/>
  <cols>
    <col min="1" max="1" width="26.6640625" style="63" customWidth="1"/>
    <col min="2" max="2" width="13" style="63" customWidth="1"/>
    <col min="3" max="3" width="9.1328125" style="63"/>
    <col min="4" max="4" width="23.46484375" style="63" bestFit="1" customWidth="1"/>
    <col min="5" max="8" width="9.53125" style="63" customWidth="1"/>
    <col min="9" max="28" width="11.19921875" style="63" bestFit="1" customWidth="1"/>
    <col min="29" max="29" width="12.265625" style="63" bestFit="1" customWidth="1"/>
    <col min="30" max="30" width="9.53125" style="63" bestFit="1" customWidth="1"/>
    <col min="31" max="33" width="10.1328125" style="63" bestFit="1" customWidth="1"/>
    <col min="34" max="34" width="12.265625" style="63" bestFit="1" customWidth="1"/>
    <col min="35" max="35" width="9.6640625" style="63" bestFit="1" customWidth="1"/>
    <col min="36" max="16384" width="9.1328125" style="63"/>
  </cols>
  <sheetData>
    <row r="1" spans="1:34" s="2" customFormat="1" x14ac:dyDescent="0.4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2" customFormat="1" ht="13.15" x14ac:dyDescent="0.4">
      <c r="B2" s="3"/>
      <c r="C2" s="3"/>
      <c r="E2" s="3">
        <v>2019</v>
      </c>
      <c r="F2" s="3">
        <f>E2+1</f>
        <v>2020</v>
      </c>
      <c r="G2" s="3">
        <f t="shared" ref="G2:AH2" si="0">F2+1</f>
        <v>2021</v>
      </c>
      <c r="H2" s="3">
        <f t="shared" si="0"/>
        <v>2022</v>
      </c>
      <c r="I2" s="3">
        <f t="shared" si="0"/>
        <v>2023</v>
      </c>
      <c r="J2" s="3">
        <f t="shared" si="0"/>
        <v>2024</v>
      </c>
      <c r="K2" s="3">
        <f t="shared" si="0"/>
        <v>2025</v>
      </c>
      <c r="L2" s="3">
        <f t="shared" si="0"/>
        <v>2026</v>
      </c>
      <c r="M2" s="3">
        <f t="shared" si="0"/>
        <v>2027</v>
      </c>
      <c r="N2" s="3">
        <f t="shared" si="0"/>
        <v>2028</v>
      </c>
      <c r="O2" s="3">
        <f t="shared" si="0"/>
        <v>2029</v>
      </c>
      <c r="P2" s="3">
        <f t="shared" si="0"/>
        <v>2030</v>
      </c>
      <c r="Q2" s="3">
        <f t="shared" si="0"/>
        <v>2031</v>
      </c>
      <c r="R2" s="3">
        <f t="shared" si="0"/>
        <v>2032</v>
      </c>
      <c r="S2" s="3">
        <f t="shared" si="0"/>
        <v>2033</v>
      </c>
      <c r="T2" s="3">
        <f t="shared" si="0"/>
        <v>2034</v>
      </c>
      <c r="U2" s="3">
        <f t="shared" si="0"/>
        <v>2035</v>
      </c>
      <c r="V2" s="3">
        <f t="shared" si="0"/>
        <v>2036</v>
      </c>
      <c r="W2" s="3">
        <f t="shared" si="0"/>
        <v>2037</v>
      </c>
      <c r="X2" s="3">
        <f t="shared" si="0"/>
        <v>2038</v>
      </c>
      <c r="Y2" s="3">
        <f t="shared" si="0"/>
        <v>2039</v>
      </c>
      <c r="Z2" s="3">
        <f t="shared" si="0"/>
        <v>2040</v>
      </c>
      <c r="AA2" s="3">
        <f t="shared" si="0"/>
        <v>2041</v>
      </c>
      <c r="AB2" s="3">
        <f t="shared" si="0"/>
        <v>2042</v>
      </c>
      <c r="AC2" s="3">
        <f t="shared" si="0"/>
        <v>2043</v>
      </c>
      <c r="AD2" s="3">
        <f t="shared" si="0"/>
        <v>2044</v>
      </c>
      <c r="AE2" s="3">
        <f t="shared" si="0"/>
        <v>2045</v>
      </c>
      <c r="AF2" s="3">
        <f t="shared" si="0"/>
        <v>2046</v>
      </c>
      <c r="AG2" s="3">
        <f t="shared" si="0"/>
        <v>2047</v>
      </c>
      <c r="AH2" s="3">
        <f t="shared" si="0"/>
        <v>2048</v>
      </c>
    </row>
    <row r="3" spans="1:34" s="2" customFormat="1" ht="13.5" thickBot="1" x14ac:dyDescent="0.45">
      <c r="A3" s="4" t="s">
        <v>60</v>
      </c>
      <c r="B3" s="4"/>
      <c r="C3" s="3"/>
      <c r="D3" s="5" t="s">
        <v>0</v>
      </c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6">
        <v>13</v>
      </c>
      <c r="R3" s="6">
        <v>14</v>
      </c>
      <c r="S3" s="6">
        <v>15</v>
      </c>
      <c r="T3" s="6">
        <v>16</v>
      </c>
      <c r="U3" s="6">
        <v>17</v>
      </c>
      <c r="V3" s="6">
        <v>18</v>
      </c>
      <c r="W3" s="6">
        <v>19</v>
      </c>
      <c r="X3" s="6">
        <v>20</v>
      </c>
      <c r="Y3" s="6">
        <v>21</v>
      </c>
      <c r="Z3" s="6">
        <v>22</v>
      </c>
      <c r="AA3" s="6">
        <v>23</v>
      </c>
      <c r="AB3" s="6">
        <v>24</v>
      </c>
      <c r="AC3" s="6">
        <v>25</v>
      </c>
      <c r="AD3" s="6">
        <v>26</v>
      </c>
      <c r="AE3" s="6">
        <v>27</v>
      </c>
      <c r="AF3" s="6">
        <v>28</v>
      </c>
      <c r="AG3" s="6">
        <v>29</v>
      </c>
      <c r="AH3" s="6">
        <v>30</v>
      </c>
    </row>
    <row r="4" spans="1:34" s="2" customFormat="1" ht="13.5" thickBot="1" x14ac:dyDescent="0.45">
      <c r="A4" s="4" t="s">
        <v>1</v>
      </c>
      <c r="B4" s="8">
        <v>30</v>
      </c>
      <c r="C4" s="3"/>
      <c r="D4" s="4" t="s">
        <v>2</v>
      </c>
      <c r="E4" s="7">
        <f>B4*B5</f>
        <v>25500</v>
      </c>
      <c r="F4" s="7">
        <f>IF(F3&gt;$B$6,0,E4-(E4*$B$7))</f>
        <v>25372.5</v>
      </c>
      <c r="G4" s="7">
        <f t="shared" ref="G4:AH4" si="1">IF(G3&gt;$B$6,0,F4-(F4*$B$7))</f>
        <v>25245.637500000001</v>
      </c>
      <c r="H4" s="7">
        <f t="shared" si="1"/>
        <v>25119.4093125</v>
      </c>
      <c r="I4" s="7">
        <f t="shared" si="1"/>
        <v>24993.8122659375</v>
      </c>
      <c r="J4" s="7">
        <f t="shared" si="1"/>
        <v>24868.843204607812</v>
      </c>
      <c r="K4" s="7">
        <f t="shared" si="1"/>
        <v>24744.498988584772</v>
      </c>
      <c r="L4" s="7">
        <f t="shared" si="1"/>
        <v>24620.776493641846</v>
      </c>
      <c r="M4" s="7">
        <f t="shared" si="1"/>
        <v>24497.672611173635</v>
      </c>
      <c r="N4" s="7">
        <f t="shared" si="1"/>
        <v>24375.184248117766</v>
      </c>
      <c r="O4" s="7">
        <f t="shared" si="1"/>
        <v>24253.308326877177</v>
      </c>
      <c r="P4" s="7">
        <f t="shared" si="1"/>
        <v>24132.041785242793</v>
      </c>
      <c r="Q4" s="7">
        <f t="shared" si="1"/>
        <v>24011.38157631658</v>
      </c>
      <c r="R4" s="7">
        <f t="shared" si="1"/>
        <v>23891.324668434998</v>
      </c>
      <c r="S4" s="7">
        <f t="shared" si="1"/>
        <v>23771.868045092822</v>
      </c>
      <c r="T4" s="7">
        <f t="shared" si="1"/>
        <v>23653.008704867359</v>
      </c>
      <c r="U4" s="7">
        <f t="shared" si="1"/>
        <v>23534.743661343022</v>
      </c>
      <c r="V4" s="7">
        <f t="shared" si="1"/>
        <v>23417.069943036306</v>
      </c>
      <c r="W4" s="7">
        <f t="shared" si="1"/>
        <v>23299.984593321125</v>
      </c>
      <c r="X4" s="7">
        <f t="shared" si="1"/>
        <v>23183.484670354519</v>
      </c>
      <c r="Y4" s="7">
        <f t="shared" si="1"/>
        <v>23067.567247002746</v>
      </c>
      <c r="Z4" s="7">
        <f t="shared" si="1"/>
        <v>22952.229410767733</v>
      </c>
      <c r="AA4" s="7">
        <f t="shared" si="1"/>
        <v>22837.468263713894</v>
      </c>
      <c r="AB4" s="7">
        <f t="shared" si="1"/>
        <v>22723.280922395323</v>
      </c>
      <c r="AC4" s="7">
        <f t="shared" si="1"/>
        <v>22609.664517783345</v>
      </c>
      <c r="AD4" s="7">
        <f t="shared" si="1"/>
        <v>0</v>
      </c>
      <c r="AE4" s="7">
        <f t="shared" si="1"/>
        <v>0</v>
      </c>
      <c r="AF4" s="7">
        <f t="shared" si="1"/>
        <v>0</v>
      </c>
      <c r="AG4" s="7">
        <f t="shared" si="1"/>
        <v>0</v>
      </c>
      <c r="AH4" s="7">
        <f t="shared" si="1"/>
        <v>0</v>
      </c>
    </row>
    <row r="5" spans="1:34" s="2" customFormat="1" ht="13.5" thickBot="1" x14ac:dyDescent="0.45">
      <c r="A5" s="4" t="s">
        <v>35</v>
      </c>
      <c r="B5" s="8">
        <v>850</v>
      </c>
      <c r="C5" s="3"/>
      <c r="D5" s="9" t="s">
        <v>3</v>
      </c>
      <c r="E5" s="7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2" customFormat="1" ht="13.5" thickBot="1" x14ac:dyDescent="0.45">
      <c r="A6" s="4" t="s">
        <v>58</v>
      </c>
      <c r="B6" s="8">
        <v>25</v>
      </c>
      <c r="C6" s="3"/>
      <c r="D6" s="4" t="s">
        <v>5</v>
      </c>
      <c r="E6" s="84">
        <f>B8</f>
        <v>0</v>
      </c>
      <c r="F6" s="12">
        <f t="shared" ref="F6:AH6" si="2">E6+(E6*$B$9)</f>
        <v>0</v>
      </c>
      <c r="G6" s="12">
        <f t="shared" si="2"/>
        <v>0</v>
      </c>
      <c r="H6" s="12">
        <f t="shared" si="2"/>
        <v>0</v>
      </c>
      <c r="I6" s="12">
        <f t="shared" si="2"/>
        <v>0</v>
      </c>
      <c r="J6" s="12">
        <f t="shared" si="2"/>
        <v>0</v>
      </c>
      <c r="K6" s="12">
        <f t="shared" si="2"/>
        <v>0</v>
      </c>
      <c r="L6" s="12">
        <f t="shared" si="2"/>
        <v>0</v>
      </c>
      <c r="M6" s="12">
        <f t="shared" si="2"/>
        <v>0</v>
      </c>
      <c r="N6" s="12">
        <f t="shared" si="2"/>
        <v>0</v>
      </c>
      <c r="O6" s="12">
        <f t="shared" si="2"/>
        <v>0</v>
      </c>
      <c r="P6" s="12">
        <f t="shared" si="2"/>
        <v>0</v>
      </c>
      <c r="Q6" s="12">
        <f t="shared" si="2"/>
        <v>0</v>
      </c>
      <c r="R6" s="12">
        <f t="shared" si="2"/>
        <v>0</v>
      </c>
      <c r="S6" s="12">
        <f t="shared" si="2"/>
        <v>0</v>
      </c>
      <c r="T6" s="12">
        <f t="shared" si="2"/>
        <v>0</v>
      </c>
      <c r="U6" s="12">
        <f t="shared" si="2"/>
        <v>0</v>
      </c>
      <c r="V6" s="12">
        <f t="shared" si="2"/>
        <v>0</v>
      </c>
      <c r="W6" s="12">
        <f t="shared" si="2"/>
        <v>0</v>
      </c>
      <c r="X6" s="12">
        <f t="shared" si="2"/>
        <v>0</v>
      </c>
      <c r="Y6" s="12">
        <f t="shared" si="2"/>
        <v>0</v>
      </c>
      <c r="Z6" s="12">
        <f t="shared" si="2"/>
        <v>0</v>
      </c>
      <c r="AA6" s="12">
        <f t="shared" si="2"/>
        <v>0</v>
      </c>
      <c r="AB6" s="12">
        <f t="shared" si="2"/>
        <v>0</v>
      </c>
      <c r="AC6" s="12">
        <f t="shared" si="2"/>
        <v>0</v>
      </c>
      <c r="AD6" s="12">
        <f t="shared" si="2"/>
        <v>0</v>
      </c>
      <c r="AE6" s="12">
        <f t="shared" si="2"/>
        <v>0</v>
      </c>
      <c r="AF6" s="12">
        <f t="shared" si="2"/>
        <v>0</v>
      </c>
      <c r="AG6" s="12">
        <f t="shared" si="2"/>
        <v>0</v>
      </c>
      <c r="AH6" s="12">
        <f t="shared" si="2"/>
        <v>0</v>
      </c>
    </row>
    <row r="7" spans="1:34" s="2" customFormat="1" ht="13.5" thickBot="1" x14ac:dyDescent="0.45">
      <c r="A7" s="4" t="s">
        <v>65</v>
      </c>
      <c r="B7" s="103">
        <v>5.0000000000000001E-3</v>
      </c>
      <c r="C7" s="11"/>
      <c r="D7" s="9" t="str">
        <f>"Energy Inflation @ "&amp;TEXT(B9,"0%")</f>
        <v>Energy Inflation @ 0%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s="2" customFormat="1" ht="13.5" thickBot="1" x14ac:dyDescent="0.45">
      <c r="A8" s="81" t="s">
        <v>4</v>
      </c>
      <c r="B8" s="92">
        <v>0</v>
      </c>
      <c r="C8" s="14"/>
      <c r="D8" s="4" t="s">
        <v>50</v>
      </c>
      <c r="E8" s="84">
        <v>0.12</v>
      </c>
      <c r="F8" s="12">
        <f t="shared" ref="F8:AH8" si="3">E8+(E8*$B$11)</f>
        <v>0.12239999999999999</v>
      </c>
      <c r="G8" s="12">
        <f t="shared" si="3"/>
        <v>0.124848</v>
      </c>
      <c r="H8" s="12">
        <f t="shared" si="3"/>
        <v>0.12734496000000001</v>
      </c>
      <c r="I8" s="12">
        <f t="shared" si="3"/>
        <v>0.12989185920000001</v>
      </c>
      <c r="J8" s="12">
        <f t="shared" si="3"/>
        <v>0.13248969638400002</v>
      </c>
      <c r="K8" s="12">
        <f t="shared" si="3"/>
        <v>0.13513949031168002</v>
      </c>
      <c r="L8" s="12">
        <f t="shared" si="3"/>
        <v>0.13784228011791361</v>
      </c>
      <c r="M8" s="12">
        <f t="shared" si="3"/>
        <v>0.14059912572027189</v>
      </c>
      <c r="N8" s="12">
        <f t="shared" si="3"/>
        <v>0.14341110823467731</v>
      </c>
      <c r="O8" s="12">
        <f t="shared" si="3"/>
        <v>0.14627933039937085</v>
      </c>
      <c r="P8" s="12">
        <f t="shared" si="3"/>
        <v>0.14920491700735827</v>
      </c>
      <c r="Q8" s="12">
        <f t="shared" si="3"/>
        <v>0.15218901534750545</v>
      </c>
      <c r="R8" s="12">
        <f t="shared" si="3"/>
        <v>0.15523279565445555</v>
      </c>
      <c r="S8" s="12">
        <f t="shared" si="3"/>
        <v>0.15833745156754467</v>
      </c>
      <c r="T8" s="12">
        <f t="shared" si="3"/>
        <v>0.16150420059889556</v>
      </c>
      <c r="U8" s="12">
        <f t="shared" si="3"/>
        <v>0.16473428461087347</v>
      </c>
      <c r="V8" s="12">
        <f t="shared" si="3"/>
        <v>0.16802897030309094</v>
      </c>
      <c r="W8" s="12">
        <f t="shared" si="3"/>
        <v>0.17138954970915277</v>
      </c>
      <c r="X8" s="12">
        <f t="shared" si="3"/>
        <v>0.17481734070333582</v>
      </c>
      <c r="Y8" s="12">
        <f t="shared" si="3"/>
        <v>0.17831368751740254</v>
      </c>
      <c r="Z8" s="12">
        <f t="shared" si="3"/>
        <v>0.18187996126775058</v>
      </c>
      <c r="AA8" s="12">
        <f t="shared" si="3"/>
        <v>0.18551756049310558</v>
      </c>
      <c r="AB8" s="12">
        <f t="shared" si="3"/>
        <v>0.18922791170296768</v>
      </c>
      <c r="AC8" s="12">
        <f t="shared" si="3"/>
        <v>0.19301246993702703</v>
      </c>
      <c r="AD8" s="12">
        <f t="shared" si="3"/>
        <v>0.19687271933576758</v>
      </c>
      <c r="AE8" s="12">
        <f t="shared" si="3"/>
        <v>0.20081017372248294</v>
      </c>
      <c r="AF8" s="12">
        <f t="shared" si="3"/>
        <v>0.20482637719693261</v>
      </c>
      <c r="AG8" s="12">
        <f t="shared" si="3"/>
        <v>0.20892290474087127</v>
      </c>
      <c r="AH8" s="12">
        <f t="shared" si="3"/>
        <v>0.2131013628356887</v>
      </c>
    </row>
    <row r="9" spans="1:34" s="2" customFormat="1" ht="13.5" thickBot="1" x14ac:dyDescent="0.45">
      <c r="A9" s="81" t="s">
        <v>52</v>
      </c>
      <c r="B9" s="93">
        <v>0</v>
      </c>
      <c r="C9" s="3"/>
      <c r="D9" s="9" t="str">
        <f>"Energy Inflation @ "&amp;TEXT(B11,"0%")</f>
        <v>Energy Inflation @ 2%</v>
      </c>
      <c r="E9" s="8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2" customFormat="1" ht="13.5" thickBot="1" x14ac:dyDescent="0.45">
      <c r="A10" s="4" t="s">
        <v>62</v>
      </c>
      <c r="B10" s="13">
        <v>0.02</v>
      </c>
      <c r="C10" s="3"/>
      <c r="D10" s="4" t="s">
        <v>9</v>
      </c>
      <c r="E10" s="84">
        <v>0.06</v>
      </c>
      <c r="F10" s="12">
        <f t="shared" ref="F10:AH10" si="4">E10+(E10*$B$12)</f>
        <v>6.1199999999999997E-2</v>
      </c>
      <c r="G10" s="12">
        <f t="shared" si="4"/>
        <v>6.2424E-2</v>
      </c>
      <c r="H10" s="12">
        <f t="shared" si="4"/>
        <v>6.3672480000000004E-2</v>
      </c>
      <c r="I10" s="12">
        <f t="shared" si="4"/>
        <v>6.4945929600000007E-2</v>
      </c>
      <c r="J10" s="12">
        <f t="shared" si="4"/>
        <v>6.6244848192000008E-2</v>
      </c>
      <c r="K10" s="12">
        <f t="shared" si="4"/>
        <v>6.7569745155840008E-2</v>
      </c>
      <c r="L10" s="12">
        <f t="shared" si="4"/>
        <v>6.8921140058956804E-2</v>
      </c>
      <c r="M10" s="12">
        <f t="shared" si="4"/>
        <v>7.0299562860135945E-2</v>
      </c>
      <c r="N10" s="12">
        <f t="shared" si="4"/>
        <v>7.1705554117338657E-2</v>
      </c>
      <c r="O10" s="12">
        <f t="shared" si="4"/>
        <v>7.3139665199685427E-2</v>
      </c>
      <c r="P10" s="12">
        <f t="shared" si="4"/>
        <v>7.4602458503679137E-2</v>
      </c>
      <c r="Q10" s="12">
        <f t="shared" si="4"/>
        <v>7.6094507673752726E-2</v>
      </c>
      <c r="R10" s="12">
        <f t="shared" si="4"/>
        <v>7.7616397827227776E-2</v>
      </c>
      <c r="S10" s="12">
        <f t="shared" si="4"/>
        <v>7.9168725783772334E-2</v>
      </c>
      <c r="T10" s="12">
        <f t="shared" si="4"/>
        <v>8.0752100299447779E-2</v>
      </c>
      <c r="U10" s="12">
        <f t="shared" si="4"/>
        <v>8.2367142305436736E-2</v>
      </c>
      <c r="V10" s="12">
        <f t="shared" si="4"/>
        <v>8.401448515154547E-2</v>
      </c>
      <c r="W10" s="12">
        <f t="shared" si="4"/>
        <v>8.5694774854576383E-2</v>
      </c>
      <c r="X10" s="12">
        <f t="shared" si="4"/>
        <v>8.7408670351667911E-2</v>
      </c>
      <c r="Y10" s="12">
        <f t="shared" si="4"/>
        <v>8.9156843758701268E-2</v>
      </c>
      <c r="Z10" s="12">
        <f t="shared" si="4"/>
        <v>9.0939980633875289E-2</v>
      </c>
      <c r="AA10" s="12">
        <f t="shared" si="4"/>
        <v>9.2758780246552791E-2</v>
      </c>
      <c r="AB10" s="12">
        <f t="shared" si="4"/>
        <v>9.4613955851483841E-2</v>
      </c>
      <c r="AC10" s="12">
        <f t="shared" si="4"/>
        <v>9.6506234968513516E-2</v>
      </c>
      <c r="AD10" s="12">
        <f t="shared" si="4"/>
        <v>9.8436359667883791E-2</v>
      </c>
      <c r="AE10" s="12">
        <f t="shared" si="4"/>
        <v>0.10040508686124147</v>
      </c>
      <c r="AF10" s="12">
        <f t="shared" si="4"/>
        <v>0.10241318859846631</v>
      </c>
      <c r="AG10" s="12">
        <f t="shared" si="4"/>
        <v>0.10446145237043564</v>
      </c>
      <c r="AH10" s="12">
        <f t="shared" si="4"/>
        <v>0.10655068141784435</v>
      </c>
    </row>
    <row r="11" spans="1:34" s="2" customFormat="1" ht="13.5" thickBot="1" x14ac:dyDescent="0.45">
      <c r="A11" s="4" t="s">
        <v>53</v>
      </c>
      <c r="B11" s="13">
        <v>0.02</v>
      </c>
      <c r="C11" s="3"/>
      <c r="D11" s="9" t="str">
        <f>"Energy Inflation @ "&amp;TEXT(B12,"0%")</f>
        <v>Energy Inflation @ 2%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2" customFormat="1" ht="13.5" thickBot="1" x14ac:dyDescent="0.45">
      <c r="A12" s="4" t="s">
        <v>54</v>
      </c>
      <c r="B12" s="13">
        <v>0.02</v>
      </c>
    </row>
    <row r="13" spans="1:34" s="2" customFormat="1" ht="13.5" thickBot="1" x14ac:dyDescent="0.45">
      <c r="A13" s="4" t="s">
        <v>63</v>
      </c>
      <c r="B13" s="13">
        <v>0.02</v>
      </c>
    </row>
    <row r="14" spans="1:34" s="2" customFormat="1" ht="13.5" thickBot="1" x14ac:dyDescent="0.45">
      <c r="A14" s="4" t="s">
        <v>6</v>
      </c>
      <c r="B14" s="13">
        <v>0.9</v>
      </c>
      <c r="C14" s="3"/>
    </row>
    <row r="15" spans="1:34" s="2" customFormat="1" ht="13.5" thickBot="1" x14ac:dyDescent="0.45">
      <c r="A15" s="81" t="s">
        <v>7</v>
      </c>
      <c r="B15" s="93">
        <f>1-B14</f>
        <v>9.9999999999999978E-2</v>
      </c>
      <c r="C15" s="3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34" s="2" customFormat="1" ht="13.5" thickBot="1" x14ac:dyDescent="0.45">
      <c r="A16" s="4" t="s">
        <v>51</v>
      </c>
      <c r="B16" s="79">
        <v>0.05</v>
      </c>
      <c r="C16" s="3"/>
      <c r="D16" s="7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</row>
    <row r="17" spans="1:34" s="2" customFormat="1" ht="13.5" thickBot="1" x14ac:dyDescent="0.45">
      <c r="A17" s="4" t="s">
        <v>55</v>
      </c>
      <c r="B17" s="15">
        <v>1000</v>
      </c>
      <c r="C17" s="3"/>
      <c r="D17" s="77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</row>
    <row r="18" spans="1:34" s="2" customFormat="1" ht="13.5" thickBot="1" x14ac:dyDescent="0.45">
      <c r="A18" s="81" t="s">
        <v>8</v>
      </c>
      <c r="B18" s="94">
        <f>B17*B4</f>
        <v>30000</v>
      </c>
      <c r="C18" s="3"/>
      <c r="D18" s="77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</row>
    <row r="19" spans="1:34" s="2" customFormat="1" ht="13.5" thickBot="1" x14ac:dyDescent="0.45">
      <c r="A19" s="4" t="s">
        <v>36</v>
      </c>
      <c r="B19" s="15">
        <v>0</v>
      </c>
      <c r="C19" s="3"/>
    </row>
    <row r="20" spans="1:34" s="2" customFormat="1" ht="13.5" thickBot="1" x14ac:dyDescent="0.45">
      <c r="A20" s="4" t="s">
        <v>10</v>
      </c>
      <c r="B20" s="16">
        <f>B18+B19</f>
        <v>30000</v>
      </c>
      <c r="C20" s="3"/>
    </row>
    <row r="21" spans="1:34" s="2" customFormat="1" ht="15.75" thickBot="1" x14ac:dyDescent="0.6">
      <c r="A21" s="4" t="s">
        <v>56</v>
      </c>
      <c r="B21" s="80">
        <v>0.34</v>
      </c>
      <c r="C21" s="3"/>
      <c r="D21" s="4" t="s">
        <v>11</v>
      </c>
      <c r="E21" s="17">
        <f>IF(E3&gt;$B$6,0,(E4*$B$21)/1000)</f>
        <v>8.67</v>
      </c>
      <c r="F21" s="17">
        <f t="shared" ref="F21:AH21" si="5">IF(F3&gt;$B$6,0,(F4*$B$21)/1000)</f>
        <v>8.6266500000000015</v>
      </c>
      <c r="G21" s="17">
        <f t="shared" si="5"/>
        <v>8.5835167500000011</v>
      </c>
      <c r="H21" s="17">
        <f t="shared" si="5"/>
        <v>8.5405991662500007</v>
      </c>
      <c r="I21" s="17">
        <f t="shared" si="5"/>
        <v>8.4978961704187519</v>
      </c>
      <c r="J21" s="17">
        <f t="shared" si="5"/>
        <v>8.4554066895666562</v>
      </c>
      <c r="K21" s="17">
        <f t="shared" si="5"/>
        <v>8.4131296561188229</v>
      </c>
      <c r="L21" s="17">
        <f t="shared" si="5"/>
        <v>8.3710640078382283</v>
      </c>
      <c r="M21" s="17">
        <f t="shared" si="5"/>
        <v>8.3292086877990368</v>
      </c>
      <c r="N21" s="17">
        <f t="shared" si="5"/>
        <v>8.2875626443600421</v>
      </c>
      <c r="O21" s="17">
        <f t="shared" si="5"/>
        <v>8.2461248311382409</v>
      </c>
      <c r="P21" s="17">
        <f t="shared" si="5"/>
        <v>8.2048942069825497</v>
      </c>
      <c r="Q21" s="17">
        <f t="shared" si="5"/>
        <v>8.1638697359476389</v>
      </c>
      <c r="R21" s="17">
        <f t="shared" si="5"/>
        <v>8.1230503872679005</v>
      </c>
      <c r="S21" s="17">
        <f t="shared" si="5"/>
        <v>8.0824351353315613</v>
      </c>
      <c r="T21" s="17">
        <f t="shared" si="5"/>
        <v>8.0420229596549024</v>
      </c>
      <c r="U21" s="17">
        <f t="shared" si="5"/>
        <v>8.0018128448566284</v>
      </c>
      <c r="V21" s="17">
        <f t="shared" si="5"/>
        <v>7.9618037806323443</v>
      </c>
      <c r="W21" s="17">
        <f t="shared" si="5"/>
        <v>7.9219947617291835</v>
      </c>
      <c r="X21" s="17">
        <f t="shared" si="5"/>
        <v>7.8823847879205369</v>
      </c>
      <c r="Y21" s="17">
        <f t="shared" si="5"/>
        <v>7.8429728639809335</v>
      </c>
      <c r="Z21" s="17">
        <f t="shared" si="5"/>
        <v>7.8037579996610305</v>
      </c>
      <c r="AA21" s="17">
        <f t="shared" si="5"/>
        <v>7.7647392096627241</v>
      </c>
      <c r="AB21" s="17">
        <f t="shared" si="5"/>
        <v>7.7259155136144102</v>
      </c>
      <c r="AC21" s="17">
        <f t="shared" si="5"/>
        <v>7.6872859360463384</v>
      </c>
      <c r="AD21" s="17">
        <f t="shared" si="5"/>
        <v>0</v>
      </c>
      <c r="AE21" s="17">
        <f t="shared" si="5"/>
        <v>0</v>
      </c>
      <c r="AF21" s="17">
        <f t="shared" si="5"/>
        <v>0</v>
      </c>
      <c r="AG21" s="17">
        <f t="shared" si="5"/>
        <v>0</v>
      </c>
      <c r="AH21" s="17">
        <f t="shared" si="5"/>
        <v>0</v>
      </c>
    </row>
    <row r="22" spans="1:34" s="2" customFormat="1" ht="13.15" x14ac:dyDescent="0.4"/>
    <row r="23" spans="1:34" s="2" customFormat="1" ht="13.15" x14ac:dyDescent="0.4">
      <c r="C23" s="3"/>
    </row>
    <row r="24" spans="1:34" s="2" customFormat="1" ht="13.15" x14ac:dyDescent="0.4">
      <c r="A24" s="18" t="str">
        <f>"Total Income "&amp;B6&amp;" year view"</f>
        <v>Total Income 25 year view</v>
      </c>
      <c r="B24" s="19"/>
      <c r="C24" s="3"/>
      <c r="D24" s="18" t="s">
        <v>43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s="2" customFormat="1" ht="13.15" x14ac:dyDescent="0.4">
      <c r="A25" s="20" t="s">
        <v>12</v>
      </c>
      <c r="B25" s="21">
        <f>SUMIF($E$3:$AH$3,"&lt;"&amp;$B$6+1,E25:AH25)</f>
        <v>0</v>
      </c>
      <c r="C25" s="3"/>
      <c r="D25" s="18" t="s">
        <v>61</v>
      </c>
      <c r="E25" s="21">
        <f t="shared" ref="E25:AH25" si="6">E4*E6</f>
        <v>0</v>
      </c>
      <c r="F25" s="21">
        <f t="shared" si="6"/>
        <v>0</v>
      </c>
      <c r="G25" s="21">
        <f t="shared" si="6"/>
        <v>0</v>
      </c>
      <c r="H25" s="21">
        <f t="shared" si="6"/>
        <v>0</v>
      </c>
      <c r="I25" s="21">
        <f t="shared" si="6"/>
        <v>0</v>
      </c>
      <c r="J25" s="21">
        <f t="shared" si="6"/>
        <v>0</v>
      </c>
      <c r="K25" s="21">
        <f t="shared" si="6"/>
        <v>0</v>
      </c>
      <c r="L25" s="21">
        <f t="shared" si="6"/>
        <v>0</v>
      </c>
      <c r="M25" s="21">
        <f t="shared" si="6"/>
        <v>0</v>
      </c>
      <c r="N25" s="21">
        <f t="shared" si="6"/>
        <v>0</v>
      </c>
      <c r="O25" s="21">
        <f t="shared" si="6"/>
        <v>0</v>
      </c>
      <c r="P25" s="21">
        <f t="shared" si="6"/>
        <v>0</v>
      </c>
      <c r="Q25" s="21">
        <f t="shared" si="6"/>
        <v>0</v>
      </c>
      <c r="R25" s="21">
        <f t="shared" si="6"/>
        <v>0</v>
      </c>
      <c r="S25" s="21">
        <f t="shared" si="6"/>
        <v>0</v>
      </c>
      <c r="T25" s="21">
        <f t="shared" si="6"/>
        <v>0</v>
      </c>
      <c r="U25" s="21">
        <f t="shared" si="6"/>
        <v>0</v>
      </c>
      <c r="V25" s="21">
        <f t="shared" si="6"/>
        <v>0</v>
      </c>
      <c r="W25" s="21">
        <f t="shared" si="6"/>
        <v>0</v>
      </c>
      <c r="X25" s="21">
        <f t="shared" si="6"/>
        <v>0</v>
      </c>
      <c r="Y25" s="21">
        <f t="shared" si="6"/>
        <v>0</v>
      </c>
      <c r="Z25" s="21">
        <f t="shared" si="6"/>
        <v>0</v>
      </c>
      <c r="AA25" s="21">
        <f t="shared" si="6"/>
        <v>0</v>
      </c>
      <c r="AB25" s="21">
        <f t="shared" si="6"/>
        <v>0</v>
      </c>
      <c r="AC25" s="21">
        <f t="shared" si="6"/>
        <v>0</v>
      </c>
      <c r="AD25" s="21">
        <f t="shared" si="6"/>
        <v>0</v>
      </c>
      <c r="AE25" s="21">
        <f t="shared" si="6"/>
        <v>0</v>
      </c>
      <c r="AF25" s="21">
        <f t="shared" si="6"/>
        <v>0</v>
      </c>
      <c r="AG25" s="21">
        <f t="shared" si="6"/>
        <v>0</v>
      </c>
      <c r="AH25" s="21">
        <f t="shared" si="6"/>
        <v>0</v>
      </c>
    </row>
    <row r="26" spans="1:34" s="2" customFormat="1" ht="13.15" x14ac:dyDescent="0.4">
      <c r="A26" s="20" t="s">
        <v>13</v>
      </c>
      <c r="B26" s="21">
        <f>SUMIF($E$3:$AH$3,"&lt;"&amp;$B$6+1,E26:AH26)</f>
        <v>82689.463461805208</v>
      </c>
      <c r="C26" s="3"/>
      <c r="D26" s="18" t="s">
        <v>44</v>
      </c>
      <c r="E26" s="21">
        <f t="shared" ref="E26:AH26" si="7">E4*$B$14*E8</f>
        <v>2754</v>
      </c>
      <c r="F26" s="21">
        <f t="shared" si="7"/>
        <v>2795.0346</v>
      </c>
      <c r="G26" s="21">
        <f t="shared" si="7"/>
        <v>2836.68061554</v>
      </c>
      <c r="H26" s="21">
        <f t="shared" si="7"/>
        <v>2878.9471567115461</v>
      </c>
      <c r="I26" s="21">
        <f t="shared" si="7"/>
        <v>2921.8434693465488</v>
      </c>
      <c r="J26" s="21">
        <f t="shared" si="7"/>
        <v>2965.3789370398122</v>
      </c>
      <c r="K26" s="21">
        <f t="shared" si="7"/>
        <v>3009.563083201705</v>
      </c>
      <c r="L26" s="21">
        <f t="shared" si="7"/>
        <v>3054.4055731414101</v>
      </c>
      <c r="M26" s="21">
        <f t="shared" si="7"/>
        <v>3099.9162161812174</v>
      </c>
      <c r="N26" s="21">
        <f t="shared" si="7"/>
        <v>3146.1049678023169</v>
      </c>
      <c r="O26" s="21">
        <f t="shared" si="7"/>
        <v>3192.9819318225714</v>
      </c>
      <c r="P26" s="21">
        <f t="shared" si="7"/>
        <v>3240.5573626067276</v>
      </c>
      <c r="Q26" s="21">
        <f t="shared" si="7"/>
        <v>3288.8416673095685</v>
      </c>
      <c r="R26" s="21">
        <f t="shared" si="7"/>
        <v>3337.8454081524806</v>
      </c>
      <c r="S26" s="21">
        <f t="shared" si="7"/>
        <v>3387.579304733953</v>
      </c>
      <c r="T26" s="21">
        <f t="shared" si="7"/>
        <v>3438.0542363744889</v>
      </c>
      <c r="U26" s="21">
        <f t="shared" si="7"/>
        <v>3489.2812444964688</v>
      </c>
      <c r="V26" s="21">
        <f t="shared" si="7"/>
        <v>3541.271535039466</v>
      </c>
      <c r="W26" s="21">
        <f t="shared" si="7"/>
        <v>3594.036480911554</v>
      </c>
      <c r="X26" s="21">
        <f t="shared" si="7"/>
        <v>3647.5876244771362</v>
      </c>
      <c r="Y26" s="21">
        <f t="shared" si="7"/>
        <v>3701.9366800818457</v>
      </c>
      <c r="Z26" s="21">
        <f t="shared" si="7"/>
        <v>3757.0955366150652</v>
      </c>
      <c r="AA26" s="21">
        <f t="shared" si="7"/>
        <v>3813.0762601106294</v>
      </c>
      <c r="AB26" s="21">
        <f t="shared" si="7"/>
        <v>3869.8910963862772</v>
      </c>
      <c r="AC26" s="21">
        <f t="shared" si="7"/>
        <v>3927.5524737224323</v>
      </c>
      <c r="AD26" s="21">
        <f t="shared" si="7"/>
        <v>0</v>
      </c>
      <c r="AE26" s="21">
        <f t="shared" si="7"/>
        <v>0</v>
      </c>
      <c r="AF26" s="21">
        <f t="shared" si="7"/>
        <v>0</v>
      </c>
      <c r="AG26" s="21">
        <f t="shared" si="7"/>
        <v>0</v>
      </c>
      <c r="AH26" s="21">
        <f t="shared" si="7"/>
        <v>0</v>
      </c>
    </row>
    <row r="27" spans="1:34" s="2" customFormat="1" ht="13.15" x14ac:dyDescent="0.4">
      <c r="A27" s="20" t="s">
        <v>14</v>
      </c>
      <c r="B27" s="21">
        <f>SUMIF($E$3:$AH$3,"&lt;"&amp;$B$6+1,E27:AH27)</f>
        <v>4593.8590812113989</v>
      </c>
      <c r="C27" s="3"/>
      <c r="D27" s="18" t="s">
        <v>45</v>
      </c>
      <c r="E27" s="21">
        <f t="shared" ref="E27:AH27" si="8">E4*$B$15*E10</f>
        <v>152.99999999999997</v>
      </c>
      <c r="F27" s="21">
        <f t="shared" si="8"/>
        <v>155.27969999999996</v>
      </c>
      <c r="G27" s="21">
        <f t="shared" si="8"/>
        <v>157.59336752999997</v>
      </c>
      <c r="H27" s="21">
        <f t="shared" si="8"/>
        <v>159.94150870619697</v>
      </c>
      <c r="I27" s="21">
        <f t="shared" si="8"/>
        <v>162.32463718591933</v>
      </c>
      <c r="J27" s="21">
        <f t="shared" si="8"/>
        <v>164.74327427998952</v>
      </c>
      <c r="K27" s="21">
        <f t="shared" si="8"/>
        <v>167.19794906676134</v>
      </c>
      <c r="L27" s="21">
        <f t="shared" si="8"/>
        <v>169.68919850785608</v>
      </c>
      <c r="M27" s="21">
        <f t="shared" si="8"/>
        <v>172.21756756562311</v>
      </c>
      <c r="N27" s="21">
        <f t="shared" si="8"/>
        <v>174.78360932235088</v>
      </c>
      <c r="O27" s="21">
        <f t="shared" si="8"/>
        <v>177.38788510125391</v>
      </c>
      <c r="P27" s="21">
        <f t="shared" si="8"/>
        <v>180.0309645892626</v>
      </c>
      <c r="Q27" s="21">
        <f t="shared" si="8"/>
        <v>182.71342596164266</v>
      </c>
      <c r="R27" s="21">
        <f t="shared" si="8"/>
        <v>185.43585600847109</v>
      </c>
      <c r="S27" s="21">
        <f t="shared" si="8"/>
        <v>188.19885026299733</v>
      </c>
      <c r="T27" s="21">
        <f t="shared" si="8"/>
        <v>191.00301313191599</v>
      </c>
      <c r="U27" s="21">
        <f t="shared" si="8"/>
        <v>193.84895802758155</v>
      </c>
      <c r="V27" s="21">
        <f t="shared" si="8"/>
        <v>196.73730750219249</v>
      </c>
      <c r="W27" s="21">
        <f t="shared" si="8"/>
        <v>199.66869338397518</v>
      </c>
      <c r="X27" s="21">
        <f t="shared" si="8"/>
        <v>202.64375691539641</v>
      </c>
      <c r="Y27" s="21">
        <f t="shared" si="8"/>
        <v>205.66314889343579</v>
      </c>
      <c r="Z27" s="21">
        <f t="shared" si="8"/>
        <v>208.72752981194799</v>
      </c>
      <c r="AA27" s="21">
        <f t="shared" si="8"/>
        <v>211.83757000614602</v>
      </c>
      <c r="AB27" s="21">
        <f t="shared" si="8"/>
        <v>214.99394979923753</v>
      </c>
      <c r="AC27" s="21">
        <f t="shared" si="8"/>
        <v>218.19735965124619</v>
      </c>
      <c r="AD27" s="21">
        <f t="shared" si="8"/>
        <v>0</v>
      </c>
      <c r="AE27" s="21">
        <f t="shared" si="8"/>
        <v>0</v>
      </c>
      <c r="AF27" s="21">
        <f t="shared" si="8"/>
        <v>0</v>
      </c>
      <c r="AG27" s="21">
        <f t="shared" si="8"/>
        <v>0</v>
      </c>
      <c r="AH27" s="21">
        <f t="shared" si="8"/>
        <v>0</v>
      </c>
    </row>
    <row r="28" spans="1:34" s="2" customFormat="1" ht="13.15" x14ac:dyDescent="0.4">
      <c r="A28" s="20" t="s">
        <v>15</v>
      </c>
      <c r="B28" s="21">
        <f>SUMIF($E$3:$AH$3,"&lt;"&amp;$B$6+1,E28:AH28)</f>
        <v>1673.7252799762741</v>
      </c>
      <c r="C28" s="3"/>
      <c r="D28" s="18" t="s">
        <v>47</v>
      </c>
      <c r="E28" s="21">
        <f t="shared" ref="E28:AH28" si="9">E55</f>
        <v>0</v>
      </c>
      <c r="F28" s="21">
        <f t="shared" si="9"/>
        <v>10</v>
      </c>
      <c r="G28" s="21">
        <f t="shared" si="9"/>
        <v>20.400000000000002</v>
      </c>
      <c r="H28" s="21">
        <f t="shared" si="9"/>
        <v>31.212000000000003</v>
      </c>
      <c r="I28" s="21">
        <f t="shared" si="9"/>
        <v>42.448320000000002</v>
      </c>
      <c r="J28" s="21">
        <f t="shared" si="9"/>
        <v>54.121608000000009</v>
      </c>
      <c r="K28" s="21">
        <f t="shared" si="9"/>
        <v>66.244848192000006</v>
      </c>
      <c r="L28" s="21">
        <f t="shared" si="9"/>
        <v>78.83136934848001</v>
      </c>
      <c r="M28" s="21">
        <f t="shared" si="9"/>
        <v>91.894853411942407</v>
      </c>
      <c r="N28" s="21">
        <f t="shared" si="9"/>
        <v>105.44934429020392</v>
      </c>
      <c r="O28" s="21">
        <f t="shared" si="9"/>
        <v>119.50925686223111</v>
      </c>
      <c r="P28" s="21">
        <f t="shared" si="9"/>
        <v>24.089386199423299</v>
      </c>
      <c r="Q28" s="21">
        <f t="shared" si="9"/>
        <v>37.004917007358294</v>
      </c>
      <c r="R28" s="21">
        <f t="shared" si="9"/>
        <v>50.427433293130917</v>
      </c>
      <c r="S28" s="21">
        <f t="shared" si="9"/>
        <v>64.372048263531511</v>
      </c>
      <c r="T28" s="21">
        <f t="shared" si="9"/>
        <v>78.854276859430868</v>
      </c>
      <c r="U28" s="21">
        <f t="shared" si="9"/>
        <v>93.89004577986077</v>
      </c>
      <c r="V28" s="21">
        <f t="shared" si="9"/>
        <v>109.49570374636413</v>
      </c>
      <c r="W28" s="21">
        <f t="shared" si="9"/>
        <v>125.68803201321566</v>
      </c>
      <c r="X28" s="21">
        <f t="shared" si="9"/>
        <v>142.48425512924271</v>
      </c>
      <c r="Y28" s="21">
        <f t="shared" si="9"/>
        <v>159.90205195710556</v>
      </c>
      <c r="Z28" s="21">
        <f t="shared" si="9"/>
        <v>17.959566956031232</v>
      </c>
      <c r="AA28" s="21">
        <f t="shared" si="9"/>
        <v>33.475421734131075</v>
      </c>
      <c r="AB28" s="21">
        <f t="shared" si="9"/>
        <v>49.604726876572506</v>
      </c>
      <c r="AC28" s="21">
        <f t="shared" si="9"/>
        <v>66.365814056017939</v>
      </c>
      <c r="AD28" s="21">
        <f t="shared" si="9"/>
        <v>0</v>
      </c>
      <c r="AE28" s="21">
        <f t="shared" si="9"/>
        <v>0</v>
      </c>
      <c r="AF28" s="21">
        <f t="shared" si="9"/>
        <v>0</v>
      </c>
      <c r="AG28" s="21">
        <f t="shared" si="9"/>
        <v>0</v>
      </c>
      <c r="AH28" s="21">
        <f t="shared" si="9"/>
        <v>0</v>
      </c>
    </row>
    <row r="29" spans="1:34" s="2" customFormat="1" ht="13.15" x14ac:dyDescent="0.4">
      <c r="A29" s="22" t="str">
        <f>"Total "&amp;B6&amp;"yr income"</f>
        <v>Total 25yr income</v>
      </c>
      <c r="B29" s="23">
        <f>SUM(B25:B28)</f>
        <v>88957.047822992885</v>
      </c>
      <c r="C29" s="3"/>
      <c r="D29" s="2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s="2" customFormat="1" ht="13.5" thickBot="1" x14ac:dyDescent="0.45">
      <c r="A30" s="25" t="s">
        <v>16</v>
      </c>
      <c r="B30" s="26">
        <f>B29/B6</f>
        <v>3558.2819129197155</v>
      </c>
      <c r="C30" s="3"/>
      <c r="D30" s="27" t="s">
        <v>17</v>
      </c>
      <c r="E30" s="28">
        <f t="shared" ref="E30:AH30" si="10">SUM(E25:E27)</f>
        <v>2907</v>
      </c>
      <c r="F30" s="28">
        <f t="shared" si="10"/>
        <v>2950.3143</v>
      </c>
      <c r="G30" s="28">
        <f t="shared" si="10"/>
        <v>2994.2739830699998</v>
      </c>
      <c r="H30" s="28">
        <f t="shared" si="10"/>
        <v>3038.8886654177431</v>
      </c>
      <c r="I30" s="28">
        <f t="shared" si="10"/>
        <v>3084.1681065324683</v>
      </c>
      <c r="J30" s="28">
        <f t="shared" si="10"/>
        <v>3130.1222113198019</v>
      </c>
      <c r="K30" s="28">
        <f t="shared" si="10"/>
        <v>3176.7610322684664</v>
      </c>
      <c r="L30" s="28">
        <f t="shared" si="10"/>
        <v>3224.094771649266</v>
      </c>
      <c r="M30" s="28">
        <f t="shared" si="10"/>
        <v>3272.1337837468404</v>
      </c>
      <c r="N30" s="28">
        <f t="shared" si="10"/>
        <v>3320.8885771246678</v>
      </c>
      <c r="O30" s="28">
        <f t="shared" si="10"/>
        <v>3370.3698169238251</v>
      </c>
      <c r="P30" s="28">
        <f t="shared" si="10"/>
        <v>3420.5883271959901</v>
      </c>
      <c r="Q30" s="28">
        <f t="shared" si="10"/>
        <v>3471.5550932712113</v>
      </c>
      <c r="R30" s="28">
        <f t="shared" si="10"/>
        <v>3523.2812641609517</v>
      </c>
      <c r="S30" s="28">
        <f t="shared" si="10"/>
        <v>3575.7781549969504</v>
      </c>
      <c r="T30" s="28">
        <f t="shared" si="10"/>
        <v>3629.0572495064048</v>
      </c>
      <c r="U30" s="28">
        <f t="shared" si="10"/>
        <v>3683.1302025240502</v>
      </c>
      <c r="V30" s="28">
        <f t="shared" si="10"/>
        <v>3738.0088425416584</v>
      </c>
      <c r="W30" s="28">
        <f t="shared" si="10"/>
        <v>3793.7051742955291</v>
      </c>
      <c r="X30" s="28">
        <f t="shared" si="10"/>
        <v>3850.2313813925325</v>
      </c>
      <c r="Y30" s="28">
        <f t="shared" si="10"/>
        <v>3907.5998289752815</v>
      </c>
      <c r="Z30" s="28">
        <f t="shared" si="10"/>
        <v>3965.8230664270131</v>
      </c>
      <c r="AA30" s="28">
        <f t="shared" si="10"/>
        <v>4024.9138301167754</v>
      </c>
      <c r="AB30" s="28">
        <f t="shared" si="10"/>
        <v>4084.885046185515</v>
      </c>
      <c r="AC30" s="28">
        <f t="shared" si="10"/>
        <v>4145.7498333736785</v>
      </c>
      <c r="AD30" s="28">
        <f t="shared" si="10"/>
        <v>0</v>
      </c>
      <c r="AE30" s="28">
        <f t="shared" si="10"/>
        <v>0</v>
      </c>
      <c r="AF30" s="28">
        <f t="shared" si="10"/>
        <v>0</v>
      </c>
      <c r="AG30" s="28">
        <f t="shared" si="10"/>
        <v>0</v>
      </c>
      <c r="AH30" s="28">
        <f t="shared" si="10"/>
        <v>0</v>
      </c>
    </row>
    <row r="31" spans="1:34" s="2" customFormat="1" ht="13.5" thickTop="1" x14ac:dyDescent="0.4">
      <c r="A31" s="87"/>
      <c r="B31" s="88"/>
      <c r="C31" s="3"/>
      <c r="D31" s="86"/>
      <c r="E31" s="89">
        <f>E30/$B$20</f>
        <v>9.69E-2</v>
      </c>
      <c r="F31" s="89">
        <f t="shared" ref="F31:AH31" si="11">F30/$B$20</f>
        <v>9.8343810000000004E-2</v>
      </c>
      <c r="G31" s="89">
        <f t="shared" si="11"/>
        <v>9.9809132768999997E-2</v>
      </c>
      <c r="H31" s="89">
        <f t="shared" si="11"/>
        <v>0.10129628884725811</v>
      </c>
      <c r="I31" s="89">
        <f t="shared" si="11"/>
        <v>0.10280560355108227</v>
      </c>
      <c r="J31" s="89">
        <f t="shared" si="11"/>
        <v>0.1043374070439934</v>
      </c>
      <c r="K31" s="89">
        <f t="shared" si="11"/>
        <v>0.10589203440894888</v>
      </c>
      <c r="L31" s="89">
        <f t="shared" si="11"/>
        <v>0.1074698257216422</v>
      </c>
      <c r="M31" s="89">
        <f t="shared" si="11"/>
        <v>0.10907112612489468</v>
      </c>
      <c r="N31" s="89">
        <f t="shared" si="11"/>
        <v>0.11069628590415559</v>
      </c>
      <c r="O31" s="89">
        <f t="shared" si="11"/>
        <v>0.11234566056412751</v>
      </c>
      <c r="P31" s="89">
        <f t="shared" si="11"/>
        <v>0.11401961090653301</v>
      </c>
      <c r="Q31" s="89">
        <f t="shared" si="11"/>
        <v>0.11571850310904037</v>
      </c>
      <c r="R31" s="89">
        <f t="shared" si="11"/>
        <v>0.11744270880536506</v>
      </c>
      <c r="S31" s="89">
        <f t="shared" si="11"/>
        <v>0.11919260516656502</v>
      </c>
      <c r="T31" s="89">
        <f t="shared" si="11"/>
        <v>0.12096857498354682</v>
      </c>
      <c r="U31" s="89">
        <f t="shared" si="11"/>
        <v>0.12277100675080167</v>
      </c>
      <c r="V31" s="89">
        <f t="shared" si="11"/>
        <v>0.12460029475138862</v>
      </c>
      <c r="W31" s="89">
        <f t="shared" si="11"/>
        <v>0.12645683914318431</v>
      </c>
      <c r="X31" s="89">
        <f t="shared" si="11"/>
        <v>0.12834104604641774</v>
      </c>
      <c r="Y31" s="89">
        <f t="shared" si="11"/>
        <v>0.13025332763250938</v>
      </c>
      <c r="Z31" s="89">
        <f t="shared" si="11"/>
        <v>0.13219410221423378</v>
      </c>
      <c r="AA31" s="89">
        <f t="shared" si="11"/>
        <v>0.13416379433722586</v>
      </c>
      <c r="AB31" s="89">
        <f t="shared" si="11"/>
        <v>0.1361628348728505</v>
      </c>
      <c r="AC31" s="89">
        <f t="shared" si="11"/>
        <v>0.13819166111245595</v>
      </c>
      <c r="AD31" s="89">
        <f t="shared" si="11"/>
        <v>0</v>
      </c>
      <c r="AE31" s="89">
        <f t="shared" si="11"/>
        <v>0</v>
      </c>
      <c r="AF31" s="89">
        <f t="shared" si="11"/>
        <v>0</v>
      </c>
      <c r="AG31" s="89">
        <f t="shared" si="11"/>
        <v>0</v>
      </c>
      <c r="AH31" s="89">
        <f t="shared" si="11"/>
        <v>0</v>
      </c>
    </row>
    <row r="32" spans="1:34" s="2" customFormat="1" ht="13.15" x14ac:dyDescent="0.4">
      <c r="B32" s="3"/>
      <c r="C32" s="3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1:34" s="2" customFormat="1" ht="13.5" thickBot="1" x14ac:dyDescent="0.45">
      <c r="A33" s="31" t="str">
        <f>"Total Costs "&amp;B6&amp;" year view"</f>
        <v>Total Costs 25 year view</v>
      </c>
      <c r="B33" s="32"/>
      <c r="C33" s="3"/>
      <c r="D33" s="31" t="str">
        <f>"Running Costs ("&amp;TEXT(B10,"0%")&amp;") inflation"</f>
        <v>Running Costs (2%) inflation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s="2" customFormat="1" ht="13.5" thickBot="1" x14ac:dyDescent="0.45">
      <c r="A34" s="32" t="s">
        <v>18</v>
      </c>
      <c r="B34" s="34">
        <f t="shared" ref="B34:B41" si="12">SUMIF($E$3:$AH$3,"&lt;"&amp;$B$6+1,E34:AH34)</f>
        <v>-16015.149861618253</v>
      </c>
      <c r="C34" s="3"/>
      <c r="D34" s="35" t="s">
        <v>18</v>
      </c>
      <c r="E34" s="85">
        <f>-500</f>
        <v>-500</v>
      </c>
      <c r="F34" s="34">
        <f t="shared" ref="F34:AH34" si="13">IF(F3&gt;$B$6,0,E34*(1+$B$10))</f>
        <v>-510</v>
      </c>
      <c r="G34" s="34">
        <f t="shared" si="13"/>
        <v>-520.20000000000005</v>
      </c>
      <c r="H34" s="34">
        <f t="shared" si="13"/>
        <v>-530.60400000000004</v>
      </c>
      <c r="I34" s="34">
        <f t="shared" si="13"/>
        <v>-541.21608000000003</v>
      </c>
      <c r="J34" s="34">
        <f t="shared" si="13"/>
        <v>-552.0404016</v>
      </c>
      <c r="K34" s="34">
        <f t="shared" si="13"/>
        <v>-563.08120963199997</v>
      </c>
      <c r="L34" s="34">
        <f t="shared" si="13"/>
        <v>-574.34283382464002</v>
      </c>
      <c r="M34" s="34">
        <f t="shared" si="13"/>
        <v>-585.82969050113286</v>
      </c>
      <c r="N34" s="34">
        <f t="shared" si="13"/>
        <v>-597.54628431115555</v>
      </c>
      <c r="O34" s="34">
        <f t="shared" si="13"/>
        <v>-609.49720999737872</v>
      </c>
      <c r="P34" s="34">
        <f t="shared" si="13"/>
        <v>-621.68715419732632</v>
      </c>
      <c r="Q34" s="34">
        <f t="shared" si="13"/>
        <v>-634.12089728127285</v>
      </c>
      <c r="R34" s="34">
        <f t="shared" si="13"/>
        <v>-646.80331522689835</v>
      </c>
      <c r="S34" s="34">
        <f t="shared" si="13"/>
        <v>-659.73938153143638</v>
      </c>
      <c r="T34" s="34">
        <f t="shared" si="13"/>
        <v>-672.93416916206513</v>
      </c>
      <c r="U34" s="34">
        <f t="shared" si="13"/>
        <v>-686.39285254530648</v>
      </c>
      <c r="V34" s="34">
        <f t="shared" si="13"/>
        <v>-700.12070959621258</v>
      </c>
      <c r="W34" s="34">
        <f t="shared" si="13"/>
        <v>-714.12312378813681</v>
      </c>
      <c r="X34" s="34">
        <f t="shared" si="13"/>
        <v>-728.40558626389952</v>
      </c>
      <c r="Y34" s="34">
        <f t="shared" si="13"/>
        <v>-742.97369798917748</v>
      </c>
      <c r="Z34" s="34">
        <f t="shared" si="13"/>
        <v>-757.83317194896108</v>
      </c>
      <c r="AA34" s="34">
        <f t="shared" si="13"/>
        <v>-772.98983538794027</v>
      </c>
      <c r="AB34" s="34">
        <f t="shared" si="13"/>
        <v>-788.44963209569914</v>
      </c>
      <c r="AC34" s="34">
        <f t="shared" si="13"/>
        <v>-804.21862473761314</v>
      </c>
      <c r="AD34" s="34">
        <f t="shared" si="13"/>
        <v>0</v>
      </c>
      <c r="AE34" s="34">
        <f t="shared" si="13"/>
        <v>0</v>
      </c>
      <c r="AF34" s="34">
        <f t="shared" si="13"/>
        <v>0</v>
      </c>
      <c r="AG34" s="34">
        <f t="shared" si="13"/>
        <v>0</v>
      </c>
      <c r="AH34" s="34">
        <f t="shared" si="13"/>
        <v>0</v>
      </c>
    </row>
    <row r="35" spans="1:34" s="2" customFormat="1" ht="13.15" x14ac:dyDescent="0.4">
      <c r="A35" s="32" t="s">
        <v>48</v>
      </c>
      <c r="B35" s="34">
        <f t="shared" si="12"/>
        <v>0</v>
      </c>
      <c r="C35" s="3"/>
      <c r="D35" s="35" t="s">
        <v>19</v>
      </c>
      <c r="E35" s="34">
        <f>0</f>
        <v>0</v>
      </c>
      <c r="F35" s="34">
        <f t="shared" ref="F35:AH35" si="14">E35*1.03</f>
        <v>0</v>
      </c>
      <c r="G35" s="34">
        <f t="shared" si="14"/>
        <v>0</v>
      </c>
      <c r="H35" s="34">
        <f t="shared" si="14"/>
        <v>0</v>
      </c>
      <c r="I35" s="34">
        <f t="shared" si="14"/>
        <v>0</v>
      </c>
      <c r="J35" s="34">
        <f t="shared" si="14"/>
        <v>0</v>
      </c>
      <c r="K35" s="34">
        <f t="shared" si="14"/>
        <v>0</v>
      </c>
      <c r="L35" s="34">
        <f t="shared" si="14"/>
        <v>0</v>
      </c>
      <c r="M35" s="34">
        <f t="shared" si="14"/>
        <v>0</v>
      </c>
      <c r="N35" s="34">
        <f t="shared" si="14"/>
        <v>0</v>
      </c>
      <c r="O35" s="34">
        <f t="shared" si="14"/>
        <v>0</v>
      </c>
      <c r="P35" s="34">
        <f t="shared" si="14"/>
        <v>0</v>
      </c>
      <c r="Q35" s="34">
        <f t="shared" si="14"/>
        <v>0</v>
      </c>
      <c r="R35" s="34">
        <f t="shared" si="14"/>
        <v>0</v>
      </c>
      <c r="S35" s="34">
        <f t="shared" si="14"/>
        <v>0</v>
      </c>
      <c r="T35" s="34">
        <f t="shared" si="14"/>
        <v>0</v>
      </c>
      <c r="U35" s="34">
        <f t="shared" si="14"/>
        <v>0</v>
      </c>
      <c r="V35" s="34">
        <f t="shared" si="14"/>
        <v>0</v>
      </c>
      <c r="W35" s="34">
        <f t="shared" si="14"/>
        <v>0</v>
      </c>
      <c r="X35" s="34">
        <f t="shared" si="14"/>
        <v>0</v>
      </c>
      <c r="Y35" s="34">
        <f t="shared" si="14"/>
        <v>0</v>
      </c>
      <c r="Z35" s="34">
        <f t="shared" si="14"/>
        <v>0</v>
      </c>
      <c r="AA35" s="34">
        <f t="shared" si="14"/>
        <v>0</v>
      </c>
      <c r="AB35" s="34">
        <f t="shared" si="14"/>
        <v>0</v>
      </c>
      <c r="AC35" s="34">
        <f t="shared" si="14"/>
        <v>0</v>
      </c>
      <c r="AD35" s="34">
        <f t="shared" si="14"/>
        <v>0</v>
      </c>
      <c r="AE35" s="34">
        <f t="shared" si="14"/>
        <v>0</v>
      </c>
      <c r="AF35" s="34">
        <f t="shared" si="14"/>
        <v>0</v>
      </c>
      <c r="AG35" s="34">
        <f t="shared" si="14"/>
        <v>0</v>
      </c>
      <c r="AH35" s="34">
        <f t="shared" si="14"/>
        <v>0</v>
      </c>
    </row>
    <row r="36" spans="1:34" s="2" customFormat="1" ht="13.5" thickBot="1" x14ac:dyDescent="0.45">
      <c r="A36" s="32" t="s">
        <v>20</v>
      </c>
      <c r="B36" s="34">
        <f t="shared" si="12"/>
        <v>-30000</v>
      </c>
      <c r="C36" s="3"/>
      <c r="D36" s="35" t="s">
        <v>21</v>
      </c>
      <c r="E36" s="34">
        <f t="shared" ref="E36:AH36" si="15">IF(E3&gt;$B$6,0,-$B$20/$B$6)</f>
        <v>-1200</v>
      </c>
      <c r="F36" s="34">
        <f t="shared" si="15"/>
        <v>-1200</v>
      </c>
      <c r="G36" s="34">
        <f t="shared" si="15"/>
        <v>-1200</v>
      </c>
      <c r="H36" s="34">
        <f t="shared" si="15"/>
        <v>-1200</v>
      </c>
      <c r="I36" s="34">
        <f t="shared" si="15"/>
        <v>-1200</v>
      </c>
      <c r="J36" s="34">
        <f t="shared" si="15"/>
        <v>-1200</v>
      </c>
      <c r="K36" s="34">
        <f t="shared" si="15"/>
        <v>-1200</v>
      </c>
      <c r="L36" s="34">
        <f t="shared" si="15"/>
        <v>-1200</v>
      </c>
      <c r="M36" s="34">
        <f t="shared" si="15"/>
        <v>-1200</v>
      </c>
      <c r="N36" s="34">
        <f t="shared" si="15"/>
        <v>-1200</v>
      </c>
      <c r="O36" s="34">
        <f t="shared" si="15"/>
        <v>-1200</v>
      </c>
      <c r="P36" s="34">
        <f t="shared" si="15"/>
        <v>-1200</v>
      </c>
      <c r="Q36" s="34">
        <f t="shared" si="15"/>
        <v>-1200</v>
      </c>
      <c r="R36" s="34">
        <f t="shared" si="15"/>
        <v>-1200</v>
      </c>
      <c r="S36" s="34">
        <f t="shared" si="15"/>
        <v>-1200</v>
      </c>
      <c r="T36" s="34">
        <f t="shared" si="15"/>
        <v>-1200</v>
      </c>
      <c r="U36" s="34">
        <f t="shared" si="15"/>
        <v>-1200</v>
      </c>
      <c r="V36" s="34">
        <f t="shared" si="15"/>
        <v>-1200</v>
      </c>
      <c r="W36" s="34">
        <f t="shared" si="15"/>
        <v>-1200</v>
      </c>
      <c r="X36" s="34">
        <f t="shared" si="15"/>
        <v>-1200</v>
      </c>
      <c r="Y36" s="34">
        <f t="shared" si="15"/>
        <v>-1200</v>
      </c>
      <c r="Z36" s="34">
        <f t="shared" si="15"/>
        <v>-1200</v>
      </c>
      <c r="AA36" s="34">
        <f t="shared" si="15"/>
        <v>-1200</v>
      </c>
      <c r="AB36" s="34">
        <f t="shared" si="15"/>
        <v>-1200</v>
      </c>
      <c r="AC36" s="34">
        <f t="shared" si="15"/>
        <v>-1200</v>
      </c>
      <c r="AD36" s="34">
        <f t="shared" si="15"/>
        <v>0</v>
      </c>
      <c r="AE36" s="34">
        <f t="shared" si="15"/>
        <v>0</v>
      </c>
      <c r="AF36" s="34">
        <f t="shared" si="15"/>
        <v>0</v>
      </c>
      <c r="AG36" s="34">
        <f t="shared" si="15"/>
        <v>0</v>
      </c>
      <c r="AH36" s="34">
        <f t="shared" si="15"/>
        <v>0</v>
      </c>
    </row>
    <row r="37" spans="1:34" s="2" customFormat="1" ht="13.5" thickBot="1" x14ac:dyDescent="0.45">
      <c r="A37" s="32" t="s">
        <v>22</v>
      </c>
      <c r="B37" s="34">
        <f t="shared" si="12"/>
        <v>-8007.5749308091263</v>
      </c>
      <c r="C37" s="3"/>
      <c r="D37" s="35" t="s">
        <v>22</v>
      </c>
      <c r="E37" s="85">
        <f>-250</f>
        <v>-250</v>
      </c>
      <c r="F37" s="34">
        <f t="shared" ref="F37:AH37" si="16">IF(F3&gt;$B$6,0,E37*(1+$B$10))</f>
        <v>-255</v>
      </c>
      <c r="G37" s="34">
        <f t="shared" si="16"/>
        <v>-260.10000000000002</v>
      </c>
      <c r="H37" s="34">
        <f t="shared" si="16"/>
        <v>-265.30200000000002</v>
      </c>
      <c r="I37" s="34">
        <f t="shared" si="16"/>
        <v>-270.60804000000002</v>
      </c>
      <c r="J37" s="34">
        <f t="shared" si="16"/>
        <v>-276.0202008</v>
      </c>
      <c r="K37" s="34">
        <f t="shared" si="16"/>
        <v>-281.54060481599998</v>
      </c>
      <c r="L37" s="34">
        <f t="shared" si="16"/>
        <v>-287.17141691232001</v>
      </c>
      <c r="M37" s="34">
        <f t="shared" si="16"/>
        <v>-292.91484525056643</v>
      </c>
      <c r="N37" s="34">
        <f t="shared" si="16"/>
        <v>-298.77314215557777</v>
      </c>
      <c r="O37" s="34">
        <f t="shared" si="16"/>
        <v>-304.74860499868936</v>
      </c>
      <c r="P37" s="34">
        <f t="shared" si="16"/>
        <v>-310.84357709866316</v>
      </c>
      <c r="Q37" s="34">
        <f t="shared" si="16"/>
        <v>-317.06044864063642</v>
      </c>
      <c r="R37" s="34">
        <f t="shared" si="16"/>
        <v>-323.40165761344917</v>
      </c>
      <c r="S37" s="34">
        <f t="shared" si="16"/>
        <v>-329.86969076571819</v>
      </c>
      <c r="T37" s="34">
        <f t="shared" si="16"/>
        <v>-336.46708458103257</v>
      </c>
      <c r="U37" s="34">
        <f t="shared" si="16"/>
        <v>-343.19642627265324</v>
      </c>
      <c r="V37" s="34">
        <f t="shared" si="16"/>
        <v>-350.06035479810629</v>
      </c>
      <c r="W37" s="34">
        <f t="shared" si="16"/>
        <v>-357.0615618940684</v>
      </c>
      <c r="X37" s="34">
        <f t="shared" si="16"/>
        <v>-364.20279313194976</v>
      </c>
      <c r="Y37" s="34">
        <f t="shared" si="16"/>
        <v>-371.48684899458874</v>
      </c>
      <c r="Z37" s="34">
        <f t="shared" si="16"/>
        <v>-378.91658597448054</v>
      </c>
      <c r="AA37" s="34">
        <f t="shared" si="16"/>
        <v>-386.49491769397014</v>
      </c>
      <c r="AB37" s="34">
        <f t="shared" si="16"/>
        <v>-394.22481604784957</v>
      </c>
      <c r="AC37" s="34">
        <f t="shared" si="16"/>
        <v>-402.10931236880657</v>
      </c>
      <c r="AD37" s="34">
        <f t="shared" si="16"/>
        <v>0</v>
      </c>
      <c r="AE37" s="34">
        <f t="shared" si="16"/>
        <v>0</v>
      </c>
      <c r="AF37" s="34">
        <f t="shared" si="16"/>
        <v>0</v>
      </c>
      <c r="AG37" s="34">
        <f t="shared" si="16"/>
        <v>0</v>
      </c>
      <c r="AH37" s="34">
        <f t="shared" si="16"/>
        <v>0</v>
      </c>
    </row>
    <row r="38" spans="1:34" s="2" customFormat="1" ht="13.5" thickBot="1" x14ac:dyDescent="0.45">
      <c r="A38" s="32" t="s">
        <v>23</v>
      </c>
      <c r="B38" s="34">
        <f t="shared" si="12"/>
        <v>0</v>
      </c>
      <c r="C38" s="3"/>
      <c r="D38" s="35" t="s">
        <v>23</v>
      </c>
      <c r="E38" s="34">
        <v>0</v>
      </c>
      <c r="F38" s="34">
        <f>E38*(1+$B$10)</f>
        <v>0</v>
      </c>
      <c r="G38" s="34">
        <f t="shared" ref="G38:AH38" si="17">F38*(1+$B$10)</f>
        <v>0</v>
      </c>
      <c r="H38" s="34">
        <f t="shared" si="17"/>
        <v>0</v>
      </c>
      <c r="I38" s="34">
        <f t="shared" si="17"/>
        <v>0</v>
      </c>
      <c r="J38" s="34">
        <f t="shared" si="17"/>
        <v>0</v>
      </c>
      <c r="K38" s="34">
        <f t="shared" si="17"/>
        <v>0</v>
      </c>
      <c r="L38" s="34">
        <f t="shared" si="17"/>
        <v>0</v>
      </c>
      <c r="M38" s="34">
        <f t="shared" si="17"/>
        <v>0</v>
      </c>
      <c r="N38" s="34">
        <f t="shared" si="17"/>
        <v>0</v>
      </c>
      <c r="O38" s="34">
        <f t="shared" si="17"/>
        <v>0</v>
      </c>
      <c r="P38" s="34">
        <f t="shared" si="17"/>
        <v>0</v>
      </c>
      <c r="Q38" s="34">
        <f t="shared" si="17"/>
        <v>0</v>
      </c>
      <c r="R38" s="34">
        <f t="shared" si="17"/>
        <v>0</v>
      </c>
      <c r="S38" s="34">
        <f t="shared" si="17"/>
        <v>0</v>
      </c>
      <c r="T38" s="34">
        <f t="shared" si="17"/>
        <v>0</v>
      </c>
      <c r="U38" s="34">
        <f t="shared" si="17"/>
        <v>0</v>
      </c>
      <c r="V38" s="34">
        <f t="shared" si="17"/>
        <v>0</v>
      </c>
      <c r="W38" s="34">
        <f t="shared" si="17"/>
        <v>0</v>
      </c>
      <c r="X38" s="34">
        <f t="shared" si="17"/>
        <v>0</v>
      </c>
      <c r="Y38" s="34">
        <f t="shared" si="17"/>
        <v>0</v>
      </c>
      <c r="Z38" s="34">
        <f t="shared" si="17"/>
        <v>0</v>
      </c>
      <c r="AA38" s="34">
        <f t="shared" si="17"/>
        <v>0</v>
      </c>
      <c r="AB38" s="34">
        <f t="shared" si="17"/>
        <v>0</v>
      </c>
      <c r="AC38" s="34">
        <f t="shared" si="17"/>
        <v>0</v>
      </c>
      <c r="AD38" s="34">
        <f t="shared" si="17"/>
        <v>0</v>
      </c>
      <c r="AE38" s="34">
        <f t="shared" si="17"/>
        <v>0</v>
      </c>
      <c r="AF38" s="34">
        <f t="shared" si="17"/>
        <v>0</v>
      </c>
      <c r="AG38" s="34">
        <f t="shared" si="17"/>
        <v>0</v>
      </c>
      <c r="AH38" s="34">
        <f t="shared" si="17"/>
        <v>0</v>
      </c>
    </row>
    <row r="39" spans="1:34" s="2" customFormat="1" ht="13.5" thickBot="1" x14ac:dyDescent="0.45">
      <c r="A39" s="32" t="s">
        <v>24</v>
      </c>
      <c r="B39" s="34">
        <f t="shared" si="12"/>
        <v>-16015.149861618253</v>
      </c>
      <c r="C39" s="36"/>
      <c r="D39" s="35" t="s">
        <v>24</v>
      </c>
      <c r="E39" s="85">
        <f>-500</f>
        <v>-500</v>
      </c>
      <c r="F39" s="34">
        <f t="shared" ref="F39:AH39" si="18">IF(F3&gt;$B$6,0,E39*(1+$B$10))</f>
        <v>-510</v>
      </c>
      <c r="G39" s="34">
        <f t="shared" si="18"/>
        <v>-520.20000000000005</v>
      </c>
      <c r="H39" s="34">
        <f t="shared" si="18"/>
        <v>-530.60400000000004</v>
      </c>
      <c r="I39" s="34">
        <f t="shared" si="18"/>
        <v>-541.21608000000003</v>
      </c>
      <c r="J39" s="34">
        <f t="shared" si="18"/>
        <v>-552.0404016</v>
      </c>
      <c r="K39" s="34">
        <f t="shared" si="18"/>
        <v>-563.08120963199997</v>
      </c>
      <c r="L39" s="34">
        <f t="shared" si="18"/>
        <v>-574.34283382464002</v>
      </c>
      <c r="M39" s="34">
        <f t="shared" si="18"/>
        <v>-585.82969050113286</v>
      </c>
      <c r="N39" s="34">
        <f t="shared" si="18"/>
        <v>-597.54628431115555</v>
      </c>
      <c r="O39" s="34">
        <f t="shared" si="18"/>
        <v>-609.49720999737872</v>
      </c>
      <c r="P39" s="34">
        <f t="shared" si="18"/>
        <v>-621.68715419732632</v>
      </c>
      <c r="Q39" s="34">
        <f t="shared" si="18"/>
        <v>-634.12089728127285</v>
      </c>
      <c r="R39" s="34">
        <f t="shared" si="18"/>
        <v>-646.80331522689835</v>
      </c>
      <c r="S39" s="34">
        <f t="shared" si="18"/>
        <v>-659.73938153143638</v>
      </c>
      <c r="T39" s="34">
        <f t="shared" si="18"/>
        <v>-672.93416916206513</v>
      </c>
      <c r="U39" s="34">
        <f t="shared" si="18"/>
        <v>-686.39285254530648</v>
      </c>
      <c r="V39" s="34">
        <f t="shared" si="18"/>
        <v>-700.12070959621258</v>
      </c>
      <c r="W39" s="34">
        <f t="shared" si="18"/>
        <v>-714.12312378813681</v>
      </c>
      <c r="X39" s="34">
        <f t="shared" si="18"/>
        <v>-728.40558626389952</v>
      </c>
      <c r="Y39" s="34">
        <f t="shared" si="18"/>
        <v>-742.97369798917748</v>
      </c>
      <c r="Z39" s="34">
        <f t="shared" si="18"/>
        <v>-757.83317194896108</v>
      </c>
      <c r="AA39" s="34">
        <f t="shared" si="18"/>
        <v>-772.98983538794027</v>
      </c>
      <c r="AB39" s="34">
        <f t="shared" si="18"/>
        <v>-788.44963209569914</v>
      </c>
      <c r="AC39" s="34">
        <f t="shared" si="18"/>
        <v>-804.21862473761314</v>
      </c>
      <c r="AD39" s="34">
        <f t="shared" si="18"/>
        <v>0</v>
      </c>
      <c r="AE39" s="34">
        <f t="shared" si="18"/>
        <v>0</v>
      </c>
      <c r="AF39" s="34">
        <f t="shared" si="18"/>
        <v>0</v>
      </c>
      <c r="AG39" s="34">
        <f t="shared" si="18"/>
        <v>0</v>
      </c>
      <c r="AH39" s="34">
        <f t="shared" si="18"/>
        <v>0</v>
      </c>
    </row>
    <row r="40" spans="1:34" s="2" customFormat="1" ht="13.5" thickBot="1" x14ac:dyDescent="0.45">
      <c r="A40" s="32" t="s">
        <v>25</v>
      </c>
      <c r="B40" s="34">
        <f t="shared" si="12"/>
        <v>-1601.5149861618254</v>
      </c>
      <c r="C40" s="36"/>
      <c r="D40" s="35" t="s">
        <v>25</v>
      </c>
      <c r="E40" s="85">
        <f>-50</f>
        <v>-50</v>
      </c>
      <c r="F40" s="34">
        <f t="shared" ref="F40:AH40" si="19">IF(F3&gt;$B$6,0,E40*(1+$B$10))</f>
        <v>-51</v>
      </c>
      <c r="G40" s="34">
        <f t="shared" si="19"/>
        <v>-52.02</v>
      </c>
      <c r="H40" s="34">
        <f t="shared" si="19"/>
        <v>-53.060400000000001</v>
      </c>
      <c r="I40" s="34">
        <f t="shared" si="19"/>
        <v>-54.121608000000002</v>
      </c>
      <c r="J40" s="34">
        <f t="shared" si="19"/>
        <v>-55.204040160000005</v>
      </c>
      <c r="K40" s="34">
        <f t="shared" si="19"/>
        <v>-56.308120963200004</v>
      </c>
      <c r="L40" s="34">
        <f t="shared" si="19"/>
        <v>-57.434283382464002</v>
      </c>
      <c r="M40" s="34">
        <f t="shared" si="19"/>
        <v>-58.582969050113284</v>
      </c>
      <c r="N40" s="34">
        <f t="shared" si="19"/>
        <v>-59.754628431115549</v>
      </c>
      <c r="O40" s="34">
        <f t="shared" si="19"/>
        <v>-60.949720999737863</v>
      </c>
      <c r="P40" s="34">
        <f t="shared" si="19"/>
        <v>-62.168715419732621</v>
      </c>
      <c r="Q40" s="34">
        <f t="shared" si="19"/>
        <v>-63.412089728127278</v>
      </c>
      <c r="R40" s="34">
        <f t="shared" si="19"/>
        <v>-64.680331522689826</v>
      </c>
      <c r="S40" s="34">
        <f t="shared" si="19"/>
        <v>-65.973938153143621</v>
      </c>
      <c r="T40" s="34">
        <f t="shared" si="19"/>
        <v>-67.293416916206496</v>
      </c>
      <c r="U40" s="34">
        <f t="shared" si="19"/>
        <v>-68.639285254530634</v>
      </c>
      <c r="V40" s="34">
        <f t="shared" si="19"/>
        <v>-70.012070959621255</v>
      </c>
      <c r="W40" s="34">
        <f t="shared" si="19"/>
        <v>-71.412312378813681</v>
      </c>
      <c r="X40" s="34">
        <f t="shared" si="19"/>
        <v>-72.840558626389949</v>
      </c>
      <c r="Y40" s="34">
        <f t="shared" si="19"/>
        <v>-74.297369798917757</v>
      </c>
      <c r="Z40" s="34">
        <f t="shared" si="19"/>
        <v>-75.783317194896114</v>
      </c>
      <c r="AA40" s="34">
        <f t="shared" si="19"/>
        <v>-77.298983538794033</v>
      </c>
      <c r="AB40" s="34">
        <f t="shared" si="19"/>
        <v>-78.844963209569912</v>
      </c>
      <c r="AC40" s="34">
        <f t="shared" si="19"/>
        <v>-80.421862473761308</v>
      </c>
      <c r="AD40" s="34">
        <f t="shared" si="19"/>
        <v>0</v>
      </c>
      <c r="AE40" s="34">
        <f t="shared" si="19"/>
        <v>0</v>
      </c>
      <c r="AF40" s="34">
        <f t="shared" si="19"/>
        <v>0</v>
      </c>
      <c r="AG40" s="34">
        <f t="shared" si="19"/>
        <v>0</v>
      </c>
      <c r="AH40" s="34">
        <f t="shared" si="19"/>
        <v>0</v>
      </c>
    </row>
    <row r="41" spans="1:34" s="2" customFormat="1" ht="13.15" x14ac:dyDescent="0.4">
      <c r="A41" s="32" t="s">
        <v>38</v>
      </c>
      <c r="B41" s="34">
        <f t="shared" si="12"/>
        <v>0</v>
      </c>
      <c r="C41" s="30"/>
      <c r="D41" s="35" t="s">
        <v>38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s="2" customFormat="1" ht="13.15" x14ac:dyDescent="0.4">
      <c r="A42" s="37" t="str">
        <f>"Total "&amp;B6&amp;"yr running costs"</f>
        <v>Total 25yr running costs</v>
      </c>
      <c r="B42" s="38">
        <f>SUM(B34:B41)</f>
        <v>-71639.389640207461</v>
      </c>
      <c r="C42" s="36"/>
    </row>
    <row r="43" spans="1:34" s="2" customFormat="1" ht="13.5" thickBot="1" x14ac:dyDescent="0.45">
      <c r="A43" s="39" t="s">
        <v>16</v>
      </c>
      <c r="B43" s="40">
        <f>B42/B6</f>
        <v>-2865.5755856082983</v>
      </c>
      <c r="C43" s="36"/>
      <c r="D43" s="41" t="s">
        <v>26</v>
      </c>
      <c r="E43" s="42">
        <f>SUM(E34:E41)</f>
        <v>-2500</v>
      </c>
      <c r="F43" s="42">
        <f t="shared" ref="F43:AH43" si="20">SUM(F34:F41)</f>
        <v>-2526</v>
      </c>
      <c r="G43" s="42">
        <f t="shared" si="20"/>
        <v>-2552.52</v>
      </c>
      <c r="H43" s="42">
        <f t="shared" si="20"/>
        <v>-2579.5704000000001</v>
      </c>
      <c r="I43" s="42">
        <f t="shared" si="20"/>
        <v>-2607.1618080000003</v>
      </c>
      <c r="J43" s="42">
        <f t="shared" si="20"/>
        <v>-2635.3050441600003</v>
      </c>
      <c r="K43" s="42">
        <f t="shared" si="20"/>
        <v>-2664.0111450432</v>
      </c>
      <c r="L43" s="42">
        <f t="shared" si="20"/>
        <v>-2693.2913679440639</v>
      </c>
      <c r="M43" s="42">
        <f t="shared" si="20"/>
        <v>-2723.1571953029456</v>
      </c>
      <c r="N43" s="42">
        <f t="shared" si="20"/>
        <v>-2753.6203392090042</v>
      </c>
      <c r="O43" s="42">
        <f t="shared" si="20"/>
        <v>-2784.6927459931849</v>
      </c>
      <c r="P43" s="42">
        <f t="shared" si="20"/>
        <v>-2816.3866009130484</v>
      </c>
      <c r="Q43" s="42">
        <f t="shared" si="20"/>
        <v>-2848.7143329313094</v>
      </c>
      <c r="R43" s="42">
        <f t="shared" si="20"/>
        <v>-2881.688619589936</v>
      </c>
      <c r="S43" s="42">
        <f t="shared" si="20"/>
        <v>-2915.3223919817342</v>
      </c>
      <c r="T43" s="42">
        <f t="shared" si="20"/>
        <v>-2949.6288398213692</v>
      </c>
      <c r="U43" s="42">
        <f t="shared" si="20"/>
        <v>-2984.621416617797</v>
      </c>
      <c r="V43" s="42">
        <f t="shared" si="20"/>
        <v>-3020.313844950153</v>
      </c>
      <c r="W43" s="42">
        <f t="shared" si="20"/>
        <v>-3056.7201218491559</v>
      </c>
      <c r="X43" s="42">
        <f t="shared" si="20"/>
        <v>-3093.8545242861383</v>
      </c>
      <c r="Y43" s="42">
        <f t="shared" si="20"/>
        <v>-3131.7316147718616</v>
      </c>
      <c r="Z43" s="42">
        <f t="shared" si="20"/>
        <v>-3170.3662470672984</v>
      </c>
      <c r="AA43" s="42">
        <f t="shared" si="20"/>
        <v>-3209.7735720086448</v>
      </c>
      <c r="AB43" s="42">
        <f t="shared" si="20"/>
        <v>-3249.969043448818</v>
      </c>
      <c r="AC43" s="42">
        <f t="shared" si="20"/>
        <v>-3290.968424317794</v>
      </c>
      <c r="AD43" s="42">
        <f t="shared" si="20"/>
        <v>0</v>
      </c>
      <c r="AE43" s="42">
        <f t="shared" si="20"/>
        <v>0</v>
      </c>
      <c r="AF43" s="42">
        <f t="shared" si="20"/>
        <v>0</v>
      </c>
      <c r="AG43" s="42">
        <f t="shared" si="20"/>
        <v>0</v>
      </c>
      <c r="AH43" s="42">
        <f t="shared" si="20"/>
        <v>0</v>
      </c>
    </row>
    <row r="44" spans="1:34" s="2" customFormat="1" ht="13.5" thickTop="1" x14ac:dyDescent="0.4">
      <c r="C44" s="36"/>
    </row>
    <row r="45" spans="1:34" s="2" customFormat="1" ht="13.5" thickBot="1" x14ac:dyDescent="0.45">
      <c r="A45" s="43" t="s">
        <v>27</v>
      </c>
      <c r="B45" s="44">
        <f>SUMIF($E$3:$AH$3,"&lt;"&amp;$B$6+1,E47:AH47)</f>
        <v>14861.736257668706</v>
      </c>
      <c r="C45" s="36"/>
      <c r="D45" s="45" t="s">
        <v>28</v>
      </c>
      <c r="E45" s="46">
        <f t="shared" ref="E45:X45" si="21">E30+E43</f>
        <v>407</v>
      </c>
      <c r="F45" s="46">
        <f t="shared" si="21"/>
        <v>424.3143</v>
      </c>
      <c r="G45" s="46">
        <f t="shared" si="21"/>
        <v>441.75398306999978</v>
      </c>
      <c r="H45" s="46">
        <f t="shared" si="21"/>
        <v>459.31826541774308</v>
      </c>
      <c r="I45" s="46">
        <f t="shared" si="21"/>
        <v>477.00629853246801</v>
      </c>
      <c r="J45" s="46">
        <f t="shared" si="21"/>
        <v>494.81716715980156</v>
      </c>
      <c r="K45" s="46">
        <f t="shared" si="21"/>
        <v>512.74988722526632</v>
      </c>
      <c r="L45" s="46">
        <f t="shared" si="21"/>
        <v>530.80340370520207</v>
      </c>
      <c r="M45" s="46">
        <f t="shared" si="21"/>
        <v>548.9765884438948</v>
      </c>
      <c r="N45" s="46">
        <f t="shared" si="21"/>
        <v>567.26823791566358</v>
      </c>
      <c r="O45" s="46">
        <f t="shared" si="21"/>
        <v>585.67707093064018</v>
      </c>
      <c r="P45" s="46">
        <f t="shared" si="21"/>
        <v>604.20172628294176</v>
      </c>
      <c r="Q45" s="46">
        <f t="shared" si="21"/>
        <v>622.84076033990186</v>
      </c>
      <c r="R45" s="46">
        <f t="shared" si="21"/>
        <v>641.59264457101563</v>
      </c>
      <c r="S45" s="46">
        <f t="shared" si="21"/>
        <v>660.45576301521623</v>
      </c>
      <c r="T45" s="46">
        <f t="shared" si="21"/>
        <v>679.4284096850356</v>
      </c>
      <c r="U45" s="46">
        <f t="shared" si="21"/>
        <v>698.50878590625325</v>
      </c>
      <c r="V45" s="46">
        <f t="shared" si="21"/>
        <v>717.6949975915054</v>
      </c>
      <c r="W45" s="46">
        <f t="shared" si="21"/>
        <v>736.98505244637317</v>
      </c>
      <c r="X45" s="46">
        <f t="shared" si="21"/>
        <v>756.37685710639425</v>
      </c>
      <c r="Y45" s="46">
        <f t="shared" ref="Y45:AH45" si="22">Y30+Y43</f>
        <v>775.86821420341994</v>
      </c>
      <c r="Z45" s="46">
        <f t="shared" si="22"/>
        <v>795.4568193597147</v>
      </c>
      <c r="AA45" s="46">
        <f t="shared" si="22"/>
        <v>815.14025810813064</v>
      </c>
      <c r="AB45" s="46">
        <f t="shared" si="22"/>
        <v>834.91600273669701</v>
      </c>
      <c r="AC45" s="46">
        <f t="shared" si="22"/>
        <v>854.78140905588452</v>
      </c>
      <c r="AD45" s="46">
        <f t="shared" si="22"/>
        <v>0</v>
      </c>
      <c r="AE45" s="46">
        <f t="shared" si="22"/>
        <v>0</v>
      </c>
      <c r="AF45" s="46">
        <f t="shared" si="22"/>
        <v>0</v>
      </c>
      <c r="AG45" s="46">
        <f t="shared" si="22"/>
        <v>0</v>
      </c>
      <c r="AH45" s="46">
        <f t="shared" si="22"/>
        <v>0</v>
      </c>
    </row>
    <row r="46" spans="1:34" s="2" customFormat="1" ht="13.5" thickTop="1" x14ac:dyDescent="0.4">
      <c r="A46" s="43" t="s">
        <v>59</v>
      </c>
      <c r="B46" s="91">
        <f>SUMIF($E$3:$AH$3,"&lt;"&amp;$B$6+1,E49:AH49)</f>
        <v>782.19664514045826</v>
      </c>
      <c r="C46" s="36"/>
      <c r="D46" s="47" t="s">
        <v>29</v>
      </c>
      <c r="E46" s="48">
        <f>E45/$B$20</f>
        <v>1.3566666666666666E-2</v>
      </c>
      <c r="F46" s="48">
        <f t="shared" ref="F46:AH46" si="23">IF(F3&gt;$B$6,0,F45/($B$20-(-$E$36*E3)))</f>
        <v>1.4733135416666666E-2</v>
      </c>
      <c r="G46" s="48">
        <f t="shared" si="23"/>
        <v>1.6005579096739123E-2</v>
      </c>
      <c r="H46" s="48">
        <f t="shared" si="23"/>
        <v>1.7398419144611481E-2</v>
      </c>
      <c r="I46" s="48">
        <f t="shared" si="23"/>
        <v>1.8928821370336031E-2</v>
      </c>
      <c r="J46" s="48">
        <f t="shared" si="23"/>
        <v>2.0617381964991733E-2</v>
      </c>
      <c r="K46" s="48">
        <f t="shared" si="23"/>
        <v>2.2489030141459049E-2</v>
      </c>
      <c r="L46" s="48">
        <f t="shared" si="23"/>
        <v>2.4574231653018613E-2</v>
      </c>
      <c r="M46" s="48">
        <f t="shared" si="23"/>
        <v>2.691061708058308E-2</v>
      </c>
      <c r="N46" s="48">
        <f t="shared" si="23"/>
        <v>2.9545220724774144E-2</v>
      </c>
      <c r="O46" s="48">
        <f t="shared" si="23"/>
        <v>3.2537615051702232E-2</v>
      </c>
      <c r="P46" s="48">
        <f t="shared" si="23"/>
        <v>3.5964388469222723E-2</v>
      </c>
      <c r="Q46" s="48">
        <f t="shared" si="23"/>
        <v>3.9925689765378324E-2</v>
      </c>
      <c r="R46" s="48">
        <f t="shared" si="23"/>
        <v>4.4555044761876085E-2</v>
      </c>
      <c r="S46" s="48">
        <f t="shared" si="23"/>
        <v>5.0034527501152747E-2</v>
      </c>
      <c r="T46" s="48">
        <f t="shared" si="23"/>
        <v>5.6619034140419633E-2</v>
      </c>
      <c r="U46" s="48">
        <f t="shared" si="23"/>
        <v>6.4676739435764186E-2</v>
      </c>
      <c r="V46" s="48">
        <f t="shared" si="23"/>
        <v>7.4759895582448485E-2</v>
      </c>
      <c r="W46" s="48">
        <f t="shared" si="23"/>
        <v>8.7736315767425382E-2</v>
      </c>
      <c r="X46" s="48">
        <f t="shared" si="23"/>
        <v>0.10505234126477699</v>
      </c>
      <c r="Y46" s="48">
        <f t="shared" si="23"/>
        <v>0.12931136903390333</v>
      </c>
      <c r="Z46" s="48">
        <f t="shared" si="23"/>
        <v>0.16572017069994055</v>
      </c>
      <c r="AA46" s="48">
        <f t="shared" si="23"/>
        <v>0.22642784947448072</v>
      </c>
      <c r="AB46" s="48">
        <f t="shared" si="23"/>
        <v>0.34788166780695706</v>
      </c>
      <c r="AC46" s="48">
        <f t="shared" si="23"/>
        <v>0.7123178408799038</v>
      </c>
      <c r="AD46" s="48">
        <f t="shared" si="23"/>
        <v>0</v>
      </c>
      <c r="AE46" s="48">
        <f t="shared" si="23"/>
        <v>0</v>
      </c>
      <c r="AF46" s="48">
        <f t="shared" si="23"/>
        <v>0</v>
      </c>
      <c r="AG46" s="48">
        <f t="shared" si="23"/>
        <v>0</v>
      </c>
      <c r="AH46" s="48">
        <f t="shared" si="23"/>
        <v>0</v>
      </c>
    </row>
    <row r="47" spans="1:34" s="2" customFormat="1" ht="13.15" x14ac:dyDescent="0.4">
      <c r="A47" s="49" t="s">
        <v>30</v>
      </c>
      <c r="B47" s="50">
        <f>SUM(B45:B46)</f>
        <v>15643.932902809165</v>
      </c>
      <c r="C47" s="36"/>
      <c r="D47" s="47" t="str">
        <f>"Shareholder return ("&amp;TEXT(1-B16,"0%")&amp;")"</f>
        <v>Shareholder return (95%)</v>
      </c>
      <c r="E47" s="44">
        <f t="shared" ref="E47:AH47" si="24">E45*(1-$B$16)</f>
        <v>386.65</v>
      </c>
      <c r="F47" s="44">
        <f t="shared" si="24"/>
        <v>403.09858499999996</v>
      </c>
      <c r="G47" s="44">
        <f t="shared" si="24"/>
        <v>419.66628391649976</v>
      </c>
      <c r="H47" s="44">
        <f t="shared" si="24"/>
        <v>436.35235214685588</v>
      </c>
      <c r="I47" s="44">
        <f t="shared" si="24"/>
        <v>453.1559836058446</v>
      </c>
      <c r="J47" s="44">
        <f t="shared" si="24"/>
        <v>470.07630880181148</v>
      </c>
      <c r="K47" s="44">
        <f t="shared" si="24"/>
        <v>487.11239286400297</v>
      </c>
      <c r="L47" s="44">
        <f t="shared" si="24"/>
        <v>504.26323351994193</v>
      </c>
      <c r="M47" s="44">
        <f t="shared" si="24"/>
        <v>521.52775902170004</v>
      </c>
      <c r="N47" s="44">
        <f t="shared" si="24"/>
        <v>538.90482601988037</v>
      </c>
      <c r="O47" s="44">
        <f t="shared" si="24"/>
        <v>556.3932173841082</v>
      </c>
      <c r="P47" s="44">
        <f t="shared" si="24"/>
        <v>573.99163996879463</v>
      </c>
      <c r="Q47" s="44">
        <f t="shared" si="24"/>
        <v>591.69872232290675</v>
      </c>
      <c r="R47" s="44">
        <f t="shared" si="24"/>
        <v>609.51301234246478</v>
      </c>
      <c r="S47" s="44">
        <f t="shared" si="24"/>
        <v>627.43297486445545</v>
      </c>
      <c r="T47" s="44">
        <f t="shared" si="24"/>
        <v>645.45698920078382</v>
      </c>
      <c r="U47" s="44">
        <f t="shared" si="24"/>
        <v>663.58334661094057</v>
      </c>
      <c r="V47" s="44">
        <f t="shared" si="24"/>
        <v>681.81024771193006</v>
      </c>
      <c r="W47" s="44">
        <f t="shared" si="24"/>
        <v>700.13579982405452</v>
      </c>
      <c r="X47" s="44">
        <f t="shared" si="24"/>
        <v>718.5580142510745</v>
      </c>
      <c r="Y47" s="44">
        <f t="shared" si="24"/>
        <v>737.07480349324885</v>
      </c>
      <c r="Z47" s="44">
        <f t="shared" si="24"/>
        <v>755.68397839172894</v>
      </c>
      <c r="AA47" s="44">
        <f t="shared" si="24"/>
        <v>774.38324520272408</v>
      </c>
      <c r="AB47" s="44">
        <f t="shared" si="24"/>
        <v>793.17020259986214</v>
      </c>
      <c r="AC47" s="44">
        <f t="shared" si="24"/>
        <v>812.04233860309023</v>
      </c>
      <c r="AD47" s="44">
        <f t="shared" si="24"/>
        <v>0</v>
      </c>
      <c r="AE47" s="44">
        <f t="shared" si="24"/>
        <v>0</v>
      </c>
      <c r="AF47" s="44">
        <f t="shared" si="24"/>
        <v>0</v>
      </c>
      <c r="AG47" s="44">
        <f t="shared" si="24"/>
        <v>0</v>
      </c>
      <c r="AH47" s="44">
        <f t="shared" si="24"/>
        <v>0</v>
      </c>
    </row>
    <row r="48" spans="1:34" s="2" customFormat="1" ht="13.5" thickBot="1" x14ac:dyDescent="0.45">
      <c r="A48" s="51" t="s">
        <v>16</v>
      </c>
      <c r="B48" s="52">
        <f>B47/B6</f>
        <v>625.75731611236665</v>
      </c>
      <c r="C48" s="36"/>
      <c r="D48" s="53"/>
      <c r="E48" s="54">
        <f>E47/($B$20)</f>
        <v>1.2888333333333333E-2</v>
      </c>
      <c r="F48" s="54">
        <f t="shared" ref="F48:AH48" si="25">IF(F3&gt;$B$6,0,F47/(($B$20)-(-$E$36*E3)))</f>
        <v>1.3996478645833333E-2</v>
      </c>
      <c r="G48" s="54">
        <f t="shared" si="25"/>
        <v>1.5205300141902165E-2</v>
      </c>
      <c r="H48" s="54">
        <f t="shared" si="25"/>
        <v>1.6528498187380905E-2</v>
      </c>
      <c r="I48" s="54">
        <f t="shared" si="25"/>
        <v>1.7982380301819229E-2</v>
      </c>
      <c r="J48" s="54">
        <f t="shared" si="25"/>
        <v>1.9586512866742144E-2</v>
      </c>
      <c r="K48" s="54">
        <f t="shared" si="25"/>
        <v>2.1364578634386094E-2</v>
      </c>
      <c r="L48" s="54">
        <f t="shared" si="25"/>
        <v>2.3345520070367682E-2</v>
      </c>
      <c r="M48" s="54">
        <f t="shared" si="25"/>
        <v>2.5565086226553922E-2</v>
      </c>
      <c r="N48" s="54">
        <f t="shared" si="25"/>
        <v>2.8067959688535437E-2</v>
      </c>
      <c r="O48" s="54">
        <f t="shared" si="25"/>
        <v>3.0910734299117122E-2</v>
      </c>
      <c r="P48" s="54">
        <f t="shared" si="25"/>
        <v>3.4166169045761585E-2</v>
      </c>
      <c r="Q48" s="54">
        <f t="shared" si="25"/>
        <v>3.7929405277109404E-2</v>
      </c>
      <c r="R48" s="54">
        <f t="shared" si="25"/>
        <v>4.2327292523782277E-2</v>
      </c>
      <c r="S48" s="54">
        <f t="shared" si="25"/>
        <v>4.7532801126095106E-2</v>
      </c>
      <c r="T48" s="54">
        <f t="shared" si="25"/>
        <v>5.3788082433398651E-2</v>
      </c>
      <c r="U48" s="54">
        <f t="shared" si="25"/>
        <v>6.1442902463975976E-2</v>
      </c>
      <c r="V48" s="54">
        <f t="shared" si="25"/>
        <v>7.1021900803326043E-2</v>
      </c>
      <c r="W48" s="54">
        <f t="shared" si="25"/>
        <v>8.3349499979054109E-2</v>
      </c>
      <c r="X48" s="54">
        <f t="shared" si="25"/>
        <v>9.9799724201538126E-2</v>
      </c>
      <c r="Y48" s="54">
        <f t="shared" si="25"/>
        <v>0.12284580058220815</v>
      </c>
      <c r="Z48" s="54">
        <f t="shared" si="25"/>
        <v>0.15743416216494352</v>
      </c>
      <c r="AA48" s="54">
        <f t="shared" si="25"/>
        <v>0.2151064570007567</v>
      </c>
      <c r="AB48" s="54">
        <f t="shared" si="25"/>
        <v>0.33048758441660925</v>
      </c>
      <c r="AC48" s="54">
        <f t="shared" si="25"/>
        <v>0.67670194883590851</v>
      </c>
      <c r="AD48" s="54">
        <f t="shared" si="25"/>
        <v>0</v>
      </c>
      <c r="AE48" s="54">
        <f t="shared" si="25"/>
        <v>0</v>
      </c>
      <c r="AF48" s="54">
        <f t="shared" si="25"/>
        <v>0</v>
      </c>
      <c r="AG48" s="54">
        <f t="shared" si="25"/>
        <v>0</v>
      </c>
      <c r="AH48" s="54">
        <f t="shared" si="25"/>
        <v>0</v>
      </c>
    </row>
    <row r="49" spans="1:35" s="2" customFormat="1" ht="13.5" thickTop="1" x14ac:dyDescent="0.4">
      <c r="A49" s="55" t="s">
        <v>31</v>
      </c>
      <c r="B49" s="56">
        <f>AVERAGEIF($E$3:$AH$3,"&lt;"&amp;$B$6+1,E46:AH46)</f>
        <v>9.5131583715807932E-2</v>
      </c>
      <c r="C49" s="36"/>
      <c r="D49" s="47" t="str">
        <f>"Community Fund ("&amp;TEXT(B16,"0%")&amp;")"</f>
        <v>Community Fund (5%)</v>
      </c>
      <c r="E49" s="44">
        <f>E45*($B$16)</f>
        <v>20.350000000000001</v>
      </c>
      <c r="F49" s="44">
        <f t="shared" ref="F49:AH49" si="26">F45*($B$16)</f>
        <v>21.215715000000003</v>
      </c>
      <c r="G49" s="44">
        <f t="shared" si="26"/>
        <v>22.08769915349999</v>
      </c>
      <c r="H49" s="44">
        <f t="shared" si="26"/>
        <v>22.965913270887157</v>
      </c>
      <c r="I49" s="44">
        <f t="shared" si="26"/>
        <v>23.850314926623401</v>
      </c>
      <c r="J49" s="44">
        <f t="shared" si="26"/>
        <v>24.740858357990078</v>
      </c>
      <c r="K49" s="44">
        <f t="shared" si="26"/>
        <v>25.637494361263318</v>
      </c>
      <c r="L49" s="44">
        <f t="shared" si="26"/>
        <v>26.540170185260106</v>
      </c>
      <c r="M49" s="44">
        <f t="shared" si="26"/>
        <v>27.448829422194741</v>
      </c>
      <c r="N49" s="44">
        <f t="shared" si="26"/>
        <v>28.36341189578318</v>
      </c>
      <c r="O49" s="44">
        <f t="shared" si="26"/>
        <v>29.283853546532011</v>
      </c>
      <c r="P49" s="44">
        <f t="shared" si="26"/>
        <v>30.210086314147091</v>
      </c>
      <c r="Q49" s="44">
        <f t="shared" si="26"/>
        <v>31.142038016995095</v>
      </c>
      <c r="R49" s="44">
        <f t="shared" si="26"/>
        <v>32.079632228550786</v>
      </c>
      <c r="S49" s="44">
        <f t="shared" si="26"/>
        <v>33.02278815076081</v>
      </c>
      <c r="T49" s="44">
        <f t="shared" si="26"/>
        <v>33.97142048425178</v>
      </c>
      <c r="U49" s="44">
        <f t="shared" si="26"/>
        <v>34.925439295312664</v>
      </c>
      <c r="V49" s="44">
        <f t="shared" si="26"/>
        <v>35.884749879575274</v>
      </c>
      <c r="W49" s="44">
        <f t="shared" si="26"/>
        <v>36.849252622318659</v>
      </c>
      <c r="X49" s="44">
        <f t="shared" si="26"/>
        <v>37.818842855319716</v>
      </c>
      <c r="Y49" s="44">
        <f t="shared" si="26"/>
        <v>38.793410710171003</v>
      </c>
      <c r="Z49" s="44">
        <f t="shared" si="26"/>
        <v>39.772840967985736</v>
      </c>
      <c r="AA49" s="44">
        <f t="shared" si="26"/>
        <v>40.757012905406533</v>
      </c>
      <c r="AB49" s="44">
        <f t="shared" si="26"/>
        <v>41.745800136834852</v>
      </c>
      <c r="AC49" s="44">
        <f t="shared" si="26"/>
        <v>42.73907045279423</v>
      </c>
      <c r="AD49" s="44">
        <f t="shared" si="26"/>
        <v>0</v>
      </c>
      <c r="AE49" s="44">
        <f t="shared" si="26"/>
        <v>0</v>
      </c>
      <c r="AF49" s="44">
        <f t="shared" si="26"/>
        <v>0</v>
      </c>
      <c r="AG49" s="44">
        <f t="shared" si="26"/>
        <v>0</v>
      </c>
      <c r="AH49" s="44">
        <f t="shared" si="26"/>
        <v>0</v>
      </c>
    </row>
    <row r="50" spans="1:35" s="2" customFormat="1" ht="13.15" x14ac:dyDescent="0.4">
      <c r="A50" s="57" t="s">
        <v>32</v>
      </c>
      <c r="B50" s="95">
        <f>AVERAGEIF($E$3:$AH$3,"&lt;"&amp;$B$6+1,E48:AH48)</f>
        <v>9.0375004530017553E-2</v>
      </c>
      <c r="C50" s="36"/>
      <c r="D50" s="43"/>
      <c r="E50" s="48">
        <f>E49/($B$20)</f>
        <v>6.7833333333333341E-4</v>
      </c>
      <c r="F50" s="48">
        <f t="shared" ref="F50:AH50" si="27">IF(F3&gt;$B$6,0,F49/(($B$20-(-$E$36*E3))))</f>
        <v>7.3665677083333339E-4</v>
      </c>
      <c r="G50" s="48">
        <f t="shared" si="27"/>
        <v>8.0027895483695622E-4</v>
      </c>
      <c r="H50" s="48">
        <f t="shared" si="27"/>
        <v>8.6992095723057415E-4</v>
      </c>
      <c r="I50" s="48">
        <f t="shared" si="27"/>
        <v>9.4644106851680162E-4</v>
      </c>
      <c r="J50" s="48">
        <f t="shared" si="27"/>
        <v>1.0308690982495866E-3</v>
      </c>
      <c r="K50" s="48">
        <f t="shared" si="27"/>
        <v>1.1244515070729525E-3</v>
      </c>
      <c r="L50" s="48">
        <f t="shared" si="27"/>
        <v>1.2287115826509309E-3</v>
      </c>
      <c r="M50" s="48">
        <f t="shared" si="27"/>
        <v>1.345530854029154E-3</v>
      </c>
      <c r="N50" s="48">
        <f t="shared" si="27"/>
        <v>1.4772610362387072E-3</v>
      </c>
      <c r="O50" s="48">
        <f t="shared" si="27"/>
        <v>1.6268807525851117E-3</v>
      </c>
      <c r="P50" s="48">
        <f t="shared" si="27"/>
        <v>1.7982194234611364E-3</v>
      </c>
      <c r="Q50" s="48">
        <f t="shared" si="27"/>
        <v>1.9962844882689163E-3</v>
      </c>
      <c r="R50" s="48">
        <f t="shared" si="27"/>
        <v>2.2277522380938046E-3</v>
      </c>
      <c r="S50" s="48">
        <f t="shared" si="27"/>
        <v>2.501726375057637E-3</v>
      </c>
      <c r="T50" s="48">
        <f t="shared" si="27"/>
        <v>2.8309517070209816E-3</v>
      </c>
      <c r="U50" s="48">
        <f t="shared" si="27"/>
        <v>3.2338369717882097E-3</v>
      </c>
      <c r="V50" s="48">
        <f t="shared" si="27"/>
        <v>3.7379947791224243E-3</v>
      </c>
      <c r="W50" s="48">
        <f t="shared" si="27"/>
        <v>4.3868157883712689E-3</v>
      </c>
      <c r="X50" s="48">
        <f t="shared" si="27"/>
        <v>5.2526170632388493E-3</v>
      </c>
      <c r="Y50" s="48">
        <f t="shared" si="27"/>
        <v>6.465568451695167E-3</v>
      </c>
      <c r="Z50" s="48">
        <f t="shared" si="27"/>
        <v>8.2860085349970285E-3</v>
      </c>
      <c r="AA50" s="48">
        <f t="shared" si="27"/>
        <v>1.1321392473724037E-2</v>
      </c>
      <c r="AB50" s="48">
        <f t="shared" si="27"/>
        <v>1.7394083390347856E-2</v>
      </c>
      <c r="AC50" s="48">
        <f t="shared" si="27"/>
        <v>3.5615892043995193E-2</v>
      </c>
      <c r="AD50" s="48">
        <f t="shared" si="27"/>
        <v>0</v>
      </c>
      <c r="AE50" s="48">
        <f t="shared" si="27"/>
        <v>0</v>
      </c>
      <c r="AF50" s="48">
        <f t="shared" si="27"/>
        <v>0</v>
      </c>
      <c r="AG50" s="48">
        <f t="shared" si="27"/>
        <v>0</v>
      </c>
      <c r="AH50" s="48">
        <f t="shared" si="27"/>
        <v>0</v>
      </c>
    </row>
    <row r="51" spans="1:35" s="2" customFormat="1" ht="13.15" x14ac:dyDescent="0.4">
      <c r="A51" s="57" t="s">
        <v>33</v>
      </c>
      <c r="B51" s="56">
        <f>AVERAGEIF($E$3:$AH$3,"&lt;"&amp;$B$6+1,E50:AH50)</f>
        <v>4.7565791857903982E-3</v>
      </c>
      <c r="C51" s="36"/>
      <c r="E51" s="100">
        <f>E46</f>
        <v>1.3566666666666666E-2</v>
      </c>
      <c r="F51" s="100">
        <f t="shared" ref="F51:AH51" si="28">F46*($B$6-E3)/$B$6</f>
        <v>1.414381E-2</v>
      </c>
      <c r="G51" s="100">
        <f t="shared" si="28"/>
        <v>1.4725132768999994E-2</v>
      </c>
      <c r="H51" s="100">
        <f t="shared" si="28"/>
        <v>1.5310608847258102E-2</v>
      </c>
      <c r="I51" s="100">
        <f t="shared" si="28"/>
        <v>1.5900209951082267E-2</v>
      </c>
      <c r="J51" s="100">
        <f t="shared" si="28"/>
        <v>1.6493905571993386E-2</v>
      </c>
      <c r="K51" s="100">
        <f t="shared" si="28"/>
        <v>1.7091662907508878E-2</v>
      </c>
      <c r="L51" s="100">
        <f t="shared" si="28"/>
        <v>1.76934467901734E-2</v>
      </c>
      <c r="M51" s="100">
        <f t="shared" si="28"/>
        <v>1.8299219614796493E-2</v>
      </c>
      <c r="N51" s="100">
        <f t="shared" si="28"/>
        <v>1.8908941263855453E-2</v>
      </c>
      <c r="O51" s="100">
        <f t="shared" si="28"/>
        <v>1.9522569031021338E-2</v>
      </c>
      <c r="P51" s="100">
        <f t="shared" si="28"/>
        <v>2.0140057542764725E-2</v>
      </c>
      <c r="Q51" s="100">
        <f t="shared" si="28"/>
        <v>2.0761358677996729E-2</v>
      </c>
      <c r="R51" s="100">
        <f t="shared" si="28"/>
        <v>2.1386421485700521E-2</v>
      </c>
      <c r="S51" s="100">
        <f t="shared" si="28"/>
        <v>2.201519210050721E-2</v>
      </c>
      <c r="T51" s="100">
        <f t="shared" si="28"/>
        <v>2.2647613656167853E-2</v>
      </c>
      <c r="U51" s="100">
        <f t="shared" si="28"/>
        <v>2.3283626196875105E-2</v>
      </c>
      <c r="V51" s="100">
        <f t="shared" si="28"/>
        <v>2.3923166586383514E-2</v>
      </c>
      <c r="W51" s="100">
        <f t="shared" si="28"/>
        <v>2.456616841487911E-2</v>
      </c>
      <c r="X51" s="100">
        <f t="shared" si="28"/>
        <v>2.5212561903546479E-2</v>
      </c>
      <c r="Y51" s="100">
        <f t="shared" si="28"/>
        <v>2.5862273806780668E-2</v>
      </c>
      <c r="Z51" s="100">
        <f t="shared" si="28"/>
        <v>2.6515227311990488E-2</v>
      </c>
      <c r="AA51" s="100">
        <f t="shared" si="28"/>
        <v>2.7171341936937689E-2</v>
      </c>
      <c r="AB51" s="100">
        <f t="shared" si="28"/>
        <v>2.7830533424556565E-2</v>
      </c>
      <c r="AC51" s="100">
        <f t="shared" si="28"/>
        <v>2.8492713635196152E-2</v>
      </c>
      <c r="AD51" s="100">
        <f t="shared" si="28"/>
        <v>0</v>
      </c>
      <c r="AE51" s="100">
        <f t="shared" si="28"/>
        <v>0</v>
      </c>
      <c r="AF51" s="100">
        <f t="shared" si="28"/>
        <v>0</v>
      </c>
      <c r="AG51" s="100">
        <f t="shared" si="28"/>
        <v>0</v>
      </c>
      <c r="AH51" s="100">
        <f t="shared" si="28"/>
        <v>0</v>
      </c>
    </row>
    <row r="52" spans="1:35" x14ac:dyDescent="0.45">
      <c r="A52" s="2"/>
      <c r="B52" s="2"/>
      <c r="C52" s="36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s="66" customFormat="1" x14ac:dyDescent="0.45">
      <c r="A53" s="2" t="s">
        <v>70</v>
      </c>
      <c r="B53" s="101">
        <f>AVERAGEIF($E$3:$AH$3,"&lt;"&amp;$B$6+1,E51:AH51)</f>
        <v>2.0858577203745555E-2</v>
      </c>
      <c r="C53" s="36"/>
      <c r="D53" s="58" t="s">
        <v>40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2"/>
    </row>
    <row r="54" spans="1:35" s="66" customFormat="1" x14ac:dyDescent="0.45">
      <c r="A54" s="68"/>
      <c r="B54" s="69"/>
      <c r="C54" s="63"/>
      <c r="D54" s="59" t="s">
        <v>41</v>
      </c>
      <c r="E54" s="60">
        <f t="shared" ref="E54:AH54" si="29">IF(E3&gt;$B$6,0,-E34)</f>
        <v>500</v>
      </c>
      <c r="F54" s="60">
        <f t="shared" si="29"/>
        <v>510</v>
      </c>
      <c r="G54" s="60">
        <f t="shared" si="29"/>
        <v>520.20000000000005</v>
      </c>
      <c r="H54" s="60">
        <f t="shared" si="29"/>
        <v>530.60400000000004</v>
      </c>
      <c r="I54" s="60">
        <f t="shared" si="29"/>
        <v>541.21608000000003</v>
      </c>
      <c r="J54" s="60">
        <f t="shared" si="29"/>
        <v>552.0404016</v>
      </c>
      <c r="K54" s="60">
        <f t="shared" si="29"/>
        <v>563.08120963199997</v>
      </c>
      <c r="L54" s="60">
        <f t="shared" si="29"/>
        <v>574.34283382464002</v>
      </c>
      <c r="M54" s="60">
        <f t="shared" si="29"/>
        <v>585.82969050113286</v>
      </c>
      <c r="N54" s="60">
        <f t="shared" si="29"/>
        <v>597.54628431115555</v>
      </c>
      <c r="O54" s="60">
        <f t="shared" si="29"/>
        <v>609.49720999737872</v>
      </c>
      <c r="P54" s="60">
        <f t="shared" si="29"/>
        <v>621.68715419732632</v>
      </c>
      <c r="Q54" s="60">
        <f t="shared" si="29"/>
        <v>634.12089728127285</v>
      </c>
      <c r="R54" s="60">
        <f t="shared" si="29"/>
        <v>646.80331522689835</v>
      </c>
      <c r="S54" s="60">
        <f t="shared" si="29"/>
        <v>659.73938153143638</v>
      </c>
      <c r="T54" s="60">
        <f t="shared" si="29"/>
        <v>672.93416916206513</v>
      </c>
      <c r="U54" s="60">
        <f t="shared" si="29"/>
        <v>686.39285254530648</v>
      </c>
      <c r="V54" s="60">
        <f t="shared" si="29"/>
        <v>700.12070959621258</v>
      </c>
      <c r="W54" s="60">
        <f t="shared" si="29"/>
        <v>714.12312378813681</v>
      </c>
      <c r="X54" s="60">
        <f t="shared" si="29"/>
        <v>728.40558626389952</v>
      </c>
      <c r="Y54" s="60">
        <f t="shared" si="29"/>
        <v>742.97369798917748</v>
      </c>
      <c r="Z54" s="60">
        <f t="shared" si="29"/>
        <v>757.83317194896108</v>
      </c>
      <c r="AA54" s="60">
        <f t="shared" si="29"/>
        <v>772.98983538794027</v>
      </c>
      <c r="AB54" s="60">
        <f t="shared" si="29"/>
        <v>788.44963209569914</v>
      </c>
      <c r="AC54" s="60">
        <f t="shared" si="29"/>
        <v>804.21862473761314</v>
      </c>
      <c r="AD54" s="60">
        <f t="shared" si="29"/>
        <v>0</v>
      </c>
      <c r="AE54" s="60">
        <f t="shared" si="29"/>
        <v>0</v>
      </c>
      <c r="AF54" s="60">
        <f t="shared" si="29"/>
        <v>0</v>
      </c>
      <c r="AG54" s="60">
        <f t="shared" si="29"/>
        <v>0</v>
      </c>
      <c r="AH54" s="60">
        <f t="shared" si="29"/>
        <v>0</v>
      </c>
      <c r="AI54" s="2"/>
    </row>
    <row r="55" spans="1:35" x14ac:dyDescent="0.45">
      <c r="C55" s="66"/>
      <c r="D55" s="61" t="str">
        <f>"Interest @ "&amp;TEXT(B13,"0%")</f>
        <v>Interest @ 2%</v>
      </c>
      <c r="E55" s="60">
        <v>0</v>
      </c>
      <c r="F55" s="62">
        <f t="shared" ref="F55:AH55" si="30">IF(F3&gt;$B$6,0,E56*$B$13)</f>
        <v>10</v>
      </c>
      <c r="G55" s="62">
        <f t="shared" si="30"/>
        <v>20.400000000000002</v>
      </c>
      <c r="H55" s="62">
        <f t="shared" si="30"/>
        <v>31.212000000000003</v>
      </c>
      <c r="I55" s="62">
        <f t="shared" si="30"/>
        <v>42.448320000000002</v>
      </c>
      <c r="J55" s="62">
        <f t="shared" si="30"/>
        <v>54.121608000000009</v>
      </c>
      <c r="K55" s="62">
        <f t="shared" si="30"/>
        <v>66.244848192000006</v>
      </c>
      <c r="L55" s="62">
        <f t="shared" si="30"/>
        <v>78.83136934848001</v>
      </c>
      <c r="M55" s="62">
        <f t="shared" si="30"/>
        <v>91.894853411942407</v>
      </c>
      <c r="N55" s="62">
        <f t="shared" si="30"/>
        <v>105.44934429020392</v>
      </c>
      <c r="O55" s="62">
        <f t="shared" si="30"/>
        <v>119.50925686223111</v>
      </c>
      <c r="P55" s="62">
        <f t="shared" si="30"/>
        <v>24.089386199423299</v>
      </c>
      <c r="Q55" s="62">
        <f t="shared" si="30"/>
        <v>37.004917007358294</v>
      </c>
      <c r="R55" s="62">
        <f t="shared" si="30"/>
        <v>50.427433293130917</v>
      </c>
      <c r="S55" s="62">
        <f t="shared" si="30"/>
        <v>64.372048263531511</v>
      </c>
      <c r="T55" s="62">
        <f t="shared" si="30"/>
        <v>78.854276859430868</v>
      </c>
      <c r="U55" s="62">
        <f t="shared" si="30"/>
        <v>93.89004577986077</v>
      </c>
      <c r="V55" s="62">
        <f t="shared" si="30"/>
        <v>109.49570374636413</v>
      </c>
      <c r="W55" s="62">
        <f t="shared" si="30"/>
        <v>125.68803201321566</v>
      </c>
      <c r="X55" s="62">
        <f t="shared" si="30"/>
        <v>142.48425512924271</v>
      </c>
      <c r="Y55" s="62">
        <f t="shared" si="30"/>
        <v>159.90205195710556</v>
      </c>
      <c r="Z55" s="62">
        <f t="shared" si="30"/>
        <v>17.959566956031232</v>
      </c>
      <c r="AA55" s="62">
        <f t="shared" si="30"/>
        <v>33.475421734131075</v>
      </c>
      <c r="AB55" s="62">
        <f t="shared" si="30"/>
        <v>49.604726876572506</v>
      </c>
      <c r="AC55" s="62">
        <f t="shared" si="30"/>
        <v>66.365814056017939</v>
      </c>
      <c r="AD55" s="62">
        <f t="shared" si="30"/>
        <v>0</v>
      </c>
      <c r="AE55" s="62">
        <f t="shared" si="30"/>
        <v>0</v>
      </c>
      <c r="AF55" s="62">
        <f t="shared" si="30"/>
        <v>0</v>
      </c>
      <c r="AG55" s="62">
        <f t="shared" si="30"/>
        <v>0</v>
      </c>
      <c r="AH55" s="62">
        <f t="shared" si="30"/>
        <v>0</v>
      </c>
    </row>
    <row r="56" spans="1:35" ht="14.65" thickBot="1" x14ac:dyDescent="0.5">
      <c r="A56" s="65"/>
      <c r="B56" s="66"/>
      <c r="C56" s="66"/>
      <c r="D56" s="64" t="s">
        <v>34</v>
      </c>
      <c r="E56" s="60">
        <f>E54+E55</f>
        <v>500</v>
      </c>
      <c r="F56" s="62">
        <f t="shared" ref="F56:AH56" si="31">E56+F54+F55-E57</f>
        <v>1020</v>
      </c>
      <c r="G56" s="62">
        <f t="shared" si="31"/>
        <v>1560.6000000000001</v>
      </c>
      <c r="H56" s="62">
        <f t="shared" si="31"/>
        <v>2122.4160000000002</v>
      </c>
      <c r="I56" s="62">
        <f t="shared" si="31"/>
        <v>2706.0804000000003</v>
      </c>
      <c r="J56" s="62">
        <f t="shared" si="31"/>
        <v>3312.2424096</v>
      </c>
      <c r="K56" s="62">
        <f t="shared" si="31"/>
        <v>3941.5684674240001</v>
      </c>
      <c r="L56" s="62">
        <f t="shared" si="31"/>
        <v>4594.7426705971202</v>
      </c>
      <c r="M56" s="62">
        <f t="shared" si="31"/>
        <v>5272.4672145101958</v>
      </c>
      <c r="N56" s="62">
        <f t="shared" si="31"/>
        <v>5975.4628431115552</v>
      </c>
      <c r="O56" s="62">
        <f t="shared" si="31"/>
        <v>1204.4693099711649</v>
      </c>
      <c r="P56" s="62">
        <f t="shared" si="31"/>
        <v>1850.2458503679145</v>
      </c>
      <c r="Q56" s="62">
        <f t="shared" si="31"/>
        <v>2521.3716646565458</v>
      </c>
      <c r="R56" s="62">
        <f t="shared" si="31"/>
        <v>3218.6024131765753</v>
      </c>
      <c r="S56" s="62">
        <f t="shared" si="31"/>
        <v>3942.7138429715433</v>
      </c>
      <c r="T56" s="62">
        <f t="shared" si="31"/>
        <v>4694.5022889930387</v>
      </c>
      <c r="U56" s="62">
        <f t="shared" si="31"/>
        <v>5474.7851873182062</v>
      </c>
      <c r="V56" s="62">
        <f t="shared" si="31"/>
        <v>6284.4016006607826</v>
      </c>
      <c r="W56" s="62">
        <f t="shared" si="31"/>
        <v>7124.2127564621351</v>
      </c>
      <c r="X56" s="62">
        <f t="shared" si="31"/>
        <v>7995.102597855278</v>
      </c>
      <c r="Y56" s="62">
        <f t="shared" si="31"/>
        <v>897.97834780156154</v>
      </c>
      <c r="Z56" s="62">
        <f t="shared" si="31"/>
        <v>1673.7710867065539</v>
      </c>
      <c r="AA56" s="62">
        <f t="shared" si="31"/>
        <v>2480.2363438286252</v>
      </c>
      <c r="AB56" s="62">
        <f t="shared" si="31"/>
        <v>3318.2907028008967</v>
      </c>
      <c r="AC56" s="62">
        <f t="shared" si="31"/>
        <v>4188.875141594528</v>
      </c>
      <c r="AD56" s="62">
        <f t="shared" si="31"/>
        <v>4188.875141594528</v>
      </c>
      <c r="AE56" s="62">
        <f t="shared" si="31"/>
        <v>4188.875141594528</v>
      </c>
      <c r="AF56" s="62">
        <f t="shared" si="31"/>
        <v>4188.875141594528</v>
      </c>
      <c r="AG56" s="62">
        <f t="shared" si="31"/>
        <v>4188.875141594528</v>
      </c>
      <c r="AH56" s="62">
        <f t="shared" si="31"/>
        <v>4188.875141594528</v>
      </c>
      <c r="AI56" s="66"/>
    </row>
    <row r="57" spans="1:35" ht="14.65" thickBot="1" x14ac:dyDescent="0.5">
      <c r="A57" s="66"/>
      <c r="B57" s="66"/>
      <c r="D57" s="64" t="s">
        <v>42</v>
      </c>
      <c r="E57" s="60"/>
      <c r="F57" s="62"/>
      <c r="G57" s="62"/>
      <c r="H57" s="62"/>
      <c r="I57" s="62"/>
      <c r="J57" s="62"/>
      <c r="K57" s="62"/>
      <c r="L57" s="62"/>
      <c r="M57" s="62"/>
      <c r="N57" s="96">
        <v>5500</v>
      </c>
      <c r="O57" s="62"/>
      <c r="P57" s="62"/>
      <c r="Q57" s="62"/>
      <c r="R57" s="62"/>
      <c r="S57" s="62"/>
      <c r="T57" s="62"/>
      <c r="U57" s="62"/>
      <c r="V57" s="62"/>
      <c r="W57" s="62"/>
      <c r="X57" s="96">
        <v>8000</v>
      </c>
      <c r="Y57" s="62"/>
      <c r="Z57" s="62"/>
      <c r="AA57" s="62"/>
      <c r="AB57" s="62"/>
      <c r="AC57" s="62"/>
      <c r="AD57" s="62"/>
      <c r="AE57" s="62"/>
      <c r="AF57" s="62"/>
      <c r="AG57" s="62"/>
      <c r="AH57" s="96">
        <v>8000</v>
      </c>
      <c r="AI57" s="66"/>
    </row>
    <row r="59" spans="1:35" x14ac:dyDescent="0.45"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</row>
    <row r="60" spans="1:35" x14ac:dyDescent="0.45">
      <c r="A60" s="90" t="s">
        <v>69</v>
      </c>
      <c r="B60" s="72"/>
      <c r="D60" s="70" t="s">
        <v>67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</row>
    <row r="61" spans="1:35" x14ac:dyDescent="0.45">
      <c r="A61" s="72" t="s">
        <v>66</v>
      </c>
      <c r="B61" s="74">
        <f>IRR(D61:AH61)</f>
        <v>3.3669409262289784E-2</v>
      </c>
      <c r="D61" s="72">
        <f>-B20</f>
        <v>-30000</v>
      </c>
      <c r="E61" s="73">
        <f>E45-E36</f>
        <v>1607</v>
      </c>
      <c r="F61" s="73">
        <f t="shared" ref="F61:AH61" si="32">F45-F36</f>
        <v>1624.3143</v>
      </c>
      <c r="G61" s="73">
        <f t="shared" si="32"/>
        <v>1641.7539830699998</v>
      </c>
      <c r="H61" s="73">
        <f t="shared" si="32"/>
        <v>1659.3182654177431</v>
      </c>
      <c r="I61" s="73">
        <f t="shared" si="32"/>
        <v>1677.006298532468</v>
      </c>
      <c r="J61" s="73">
        <f t="shared" si="32"/>
        <v>1694.8171671598016</v>
      </c>
      <c r="K61" s="73">
        <f t="shared" si="32"/>
        <v>1712.7498872252663</v>
      </c>
      <c r="L61" s="73">
        <f t="shared" si="32"/>
        <v>1730.8034037052021</v>
      </c>
      <c r="M61" s="73">
        <f t="shared" si="32"/>
        <v>1748.9765884438948</v>
      </c>
      <c r="N61" s="73">
        <f t="shared" si="32"/>
        <v>1767.2682379156636</v>
      </c>
      <c r="O61" s="73">
        <f t="shared" si="32"/>
        <v>1785.6770709306402</v>
      </c>
      <c r="P61" s="73">
        <f t="shared" si="32"/>
        <v>1804.2017262829418</v>
      </c>
      <c r="Q61" s="73">
        <f t="shared" si="32"/>
        <v>1822.8407603399019</v>
      </c>
      <c r="R61" s="73">
        <f t="shared" si="32"/>
        <v>1841.5926445710156</v>
      </c>
      <c r="S61" s="73">
        <f t="shared" si="32"/>
        <v>1860.4557630152162</v>
      </c>
      <c r="T61" s="73">
        <f t="shared" si="32"/>
        <v>1879.4284096850356</v>
      </c>
      <c r="U61" s="73">
        <f t="shared" si="32"/>
        <v>1898.5087859062533</v>
      </c>
      <c r="V61" s="73">
        <f t="shared" si="32"/>
        <v>1917.6949975915054</v>
      </c>
      <c r="W61" s="73">
        <f t="shared" si="32"/>
        <v>1936.9850524463732</v>
      </c>
      <c r="X61" s="73">
        <f t="shared" si="32"/>
        <v>1956.3768571063943</v>
      </c>
      <c r="Y61" s="73">
        <f t="shared" si="32"/>
        <v>1975.8682142034199</v>
      </c>
      <c r="Z61" s="73">
        <f t="shared" si="32"/>
        <v>1995.4568193597147</v>
      </c>
      <c r="AA61" s="73">
        <f t="shared" si="32"/>
        <v>2015.1402581081306</v>
      </c>
      <c r="AB61" s="73">
        <f t="shared" si="32"/>
        <v>2034.916002736697</v>
      </c>
      <c r="AC61" s="73">
        <f t="shared" si="32"/>
        <v>2054.7814090558845</v>
      </c>
      <c r="AD61" s="73">
        <f t="shared" si="32"/>
        <v>0</v>
      </c>
      <c r="AE61" s="73">
        <f t="shared" si="32"/>
        <v>0</v>
      </c>
      <c r="AF61" s="73">
        <f t="shared" si="32"/>
        <v>0</v>
      </c>
      <c r="AG61" s="73">
        <f t="shared" si="32"/>
        <v>0</v>
      </c>
      <c r="AH61" s="73">
        <f t="shared" si="32"/>
        <v>0</v>
      </c>
    </row>
    <row r="62" spans="1:35" x14ac:dyDescent="0.45">
      <c r="A62" s="75" t="s">
        <v>49</v>
      </c>
      <c r="B62" s="74">
        <f>IRR(D62:AH62)</f>
        <v>3.2212556316736141E-2</v>
      </c>
      <c r="D62" s="72">
        <f>-B20</f>
        <v>-30000</v>
      </c>
      <c r="E62" s="73">
        <f>E47-E36</f>
        <v>1586.65</v>
      </c>
      <c r="F62" s="73">
        <f t="shared" ref="F62:AH62" si="33">F47-F36</f>
        <v>1603.098585</v>
      </c>
      <c r="G62" s="73">
        <f t="shared" si="33"/>
        <v>1619.6662839164997</v>
      </c>
      <c r="H62" s="73">
        <f t="shared" si="33"/>
        <v>1636.352352146856</v>
      </c>
      <c r="I62" s="73">
        <f t="shared" si="33"/>
        <v>1653.1559836058445</v>
      </c>
      <c r="J62" s="73">
        <f t="shared" si="33"/>
        <v>1670.0763088018116</v>
      </c>
      <c r="K62" s="73">
        <f t="shared" si="33"/>
        <v>1687.1123928640029</v>
      </c>
      <c r="L62" s="73">
        <f t="shared" si="33"/>
        <v>1704.2632335199419</v>
      </c>
      <c r="M62" s="73">
        <f t="shared" si="33"/>
        <v>1721.5277590217001</v>
      </c>
      <c r="N62" s="73">
        <f t="shared" si="33"/>
        <v>1738.9048260198804</v>
      </c>
      <c r="O62" s="73">
        <f t="shared" si="33"/>
        <v>1756.3932173841081</v>
      </c>
      <c r="P62" s="73">
        <f t="shared" si="33"/>
        <v>1773.9916399687945</v>
      </c>
      <c r="Q62" s="73">
        <f t="shared" si="33"/>
        <v>1791.6987223229066</v>
      </c>
      <c r="R62" s="73">
        <f t="shared" si="33"/>
        <v>1809.5130123424647</v>
      </c>
      <c r="S62" s="73">
        <f t="shared" si="33"/>
        <v>1827.4329748644554</v>
      </c>
      <c r="T62" s="73">
        <f t="shared" si="33"/>
        <v>1845.4569892007839</v>
      </c>
      <c r="U62" s="73">
        <f t="shared" si="33"/>
        <v>1863.5833466109407</v>
      </c>
      <c r="V62" s="73">
        <f t="shared" si="33"/>
        <v>1881.8102477119301</v>
      </c>
      <c r="W62" s="73">
        <f t="shared" si="33"/>
        <v>1900.1357998240546</v>
      </c>
      <c r="X62" s="73">
        <f t="shared" si="33"/>
        <v>1918.5580142510744</v>
      </c>
      <c r="Y62" s="73">
        <f t="shared" si="33"/>
        <v>1937.074803493249</v>
      </c>
      <c r="Z62" s="73">
        <f t="shared" si="33"/>
        <v>1955.6839783917289</v>
      </c>
      <c r="AA62" s="73">
        <f t="shared" si="33"/>
        <v>1974.3832452027241</v>
      </c>
      <c r="AB62" s="73">
        <f t="shared" si="33"/>
        <v>1993.170202599862</v>
      </c>
      <c r="AC62" s="73">
        <f t="shared" si="33"/>
        <v>2012.0423386030902</v>
      </c>
      <c r="AD62" s="73">
        <f t="shared" si="33"/>
        <v>0</v>
      </c>
      <c r="AE62" s="73">
        <f t="shared" si="33"/>
        <v>0</v>
      </c>
      <c r="AF62" s="73">
        <f t="shared" si="33"/>
        <v>0</v>
      </c>
      <c r="AG62" s="73">
        <f t="shared" si="33"/>
        <v>0</v>
      </c>
      <c r="AH62" s="73">
        <f t="shared" si="33"/>
        <v>0</v>
      </c>
    </row>
    <row r="67" spans="2:29" x14ac:dyDescent="0.45"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</row>
    <row r="68" spans="2:29" x14ac:dyDescent="0.45">
      <c r="D68" s="98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R68" s="98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</row>
    <row r="69" spans="2:29" x14ac:dyDescent="0.45">
      <c r="C69" s="114"/>
      <c r="D69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Q69" s="114"/>
      <c r="R69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</row>
    <row r="70" spans="2:29" x14ac:dyDescent="0.45">
      <c r="B70" s="99"/>
      <c r="C70" s="114"/>
      <c r="D70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Q70" s="114"/>
      <c r="R70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</row>
    <row r="71" spans="2:29" x14ac:dyDescent="0.45">
      <c r="C71" s="114"/>
      <c r="D71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Q71" s="114"/>
      <c r="R71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</row>
    <row r="72" spans="2:29" x14ac:dyDescent="0.45">
      <c r="C72" s="114"/>
      <c r="D72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Q72" s="114"/>
      <c r="R72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</row>
    <row r="73" spans="2:29" x14ac:dyDescent="0.45">
      <c r="C73" s="114"/>
      <c r="D73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Q73" s="114"/>
      <c r="R73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</row>
    <row r="74" spans="2:29" x14ac:dyDescent="0.45">
      <c r="C74" s="114"/>
      <c r="D74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Q74" s="114"/>
      <c r="R74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</row>
    <row r="75" spans="2:29" ht="14.25" customHeight="1" x14ac:dyDescent="0.45">
      <c r="C75" s="114"/>
      <c r="D75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Q75" s="114"/>
      <c r="R75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</row>
    <row r="76" spans="2:29" x14ac:dyDescent="0.45">
      <c r="C76" s="114"/>
      <c r="D76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Q76" s="114"/>
      <c r="R76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</row>
    <row r="77" spans="2:29" x14ac:dyDescent="0.45">
      <c r="C77" s="114"/>
      <c r="D77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Q77" s="114"/>
      <c r="R77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</row>
    <row r="78" spans="2:29" x14ac:dyDescent="0.45">
      <c r="C78" s="114"/>
      <c r="D7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Q78" s="114"/>
      <c r="R7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</row>
    <row r="79" spans="2:29" x14ac:dyDescent="0.45">
      <c r="C79" s="114"/>
      <c r="D79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Q79" s="114"/>
      <c r="R79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</row>
    <row r="82" spans="3:29" x14ac:dyDescent="0.45"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</row>
    <row r="83" spans="3:29" x14ac:dyDescent="0.45">
      <c r="D83" s="98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R83" s="98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</row>
    <row r="84" spans="3:29" x14ac:dyDescent="0.45">
      <c r="C84" s="114"/>
      <c r="D84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Q84" s="114"/>
      <c r="R84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3:29" x14ac:dyDescent="0.45">
      <c r="C85" s="114"/>
      <c r="D85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Q85" s="114"/>
      <c r="R85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3:29" x14ac:dyDescent="0.45">
      <c r="C86" s="114"/>
      <c r="D86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Q86" s="114"/>
      <c r="R86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3:29" x14ac:dyDescent="0.45">
      <c r="C87" s="114"/>
      <c r="D8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Q87" s="114"/>
      <c r="R87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3:29" x14ac:dyDescent="0.45">
      <c r="C88" s="114"/>
      <c r="D8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Q88" s="114"/>
      <c r="R8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3:29" x14ac:dyDescent="0.45">
      <c r="C89" s="114"/>
      <c r="D89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Q89" s="114"/>
      <c r="R89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3:29" x14ac:dyDescent="0.45">
      <c r="C90" s="114"/>
      <c r="D90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Q90" s="114"/>
      <c r="R90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3:29" x14ac:dyDescent="0.45">
      <c r="C91" s="114"/>
      <c r="D91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Q91" s="114"/>
      <c r="R91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3:29" x14ac:dyDescent="0.45">
      <c r="C92" s="114"/>
      <c r="D92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Q92" s="114"/>
      <c r="R92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3:29" x14ac:dyDescent="0.45">
      <c r="C93" s="114"/>
      <c r="D93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Q93" s="114"/>
      <c r="R93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3:29" x14ac:dyDescent="0.45">
      <c r="C94" s="114"/>
      <c r="D94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Q94" s="114"/>
      <c r="R94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7" spans="3:29" x14ac:dyDescent="0.45"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</row>
    <row r="98" spans="3:29" x14ac:dyDescent="0.45">
      <c r="D98" s="98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R98" s="98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</row>
    <row r="99" spans="3:29" x14ac:dyDescent="0.45">
      <c r="C99" s="114"/>
      <c r="D99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Q99" s="114"/>
      <c r="R99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3:29" x14ac:dyDescent="0.45">
      <c r="C100" s="114"/>
      <c r="D100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Q100" s="114"/>
      <c r="R100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3:29" x14ac:dyDescent="0.45">
      <c r="C101" s="114"/>
      <c r="D101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Q101" s="114"/>
      <c r="R101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3:29" x14ac:dyDescent="0.45">
      <c r="C102" s="114"/>
      <c r="D102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Q102" s="114"/>
      <c r="R102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3:29" x14ac:dyDescent="0.45">
      <c r="C103" s="114"/>
      <c r="D103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Q103" s="114"/>
      <c r="R103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3:29" x14ac:dyDescent="0.45">
      <c r="C104" s="114"/>
      <c r="D104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Q104" s="114"/>
      <c r="R104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3:29" x14ac:dyDescent="0.45">
      <c r="C105" s="114"/>
      <c r="D105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Q105" s="114"/>
      <c r="R105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3:29" x14ac:dyDescent="0.45">
      <c r="C106" s="114"/>
      <c r="D106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Q106" s="114"/>
      <c r="R106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</row>
    <row r="107" spans="3:29" x14ac:dyDescent="0.45">
      <c r="C107" s="114"/>
      <c r="D107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Q107" s="114"/>
      <c r="R107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</row>
    <row r="108" spans="3:29" x14ac:dyDescent="0.45">
      <c r="C108" s="114"/>
      <c r="D10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Q108" s="114"/>
      <c r="R10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</row>
    <row r="109" spans="3:29" x14ac:dyDescent="0.45">
      <c r="C109" s="114"/>
      <c r="D109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Q109" s="114"/>
      <c r="R109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</sheetData>
  <conditionalFormatting sqref="E69:O7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9:AC7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4:O9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84:AC9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9:O10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99:AC10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303FA-6571-46CF-8667-247BBF52C20C}">
  <dimension ref="A1:AI120"/>
  <sheetViews>
    <sheetView tabSelected="1" zoomScaleNormal="100" workbookViewId="0">
      <selection activeCell="C8" sqref="C8"/>
    </sheetView>
  </sheetViews>
  <sheetFormatPr defaultColWidth="9.1328125" defaultRowHeight="14.25" x14ac:dyDescent="0.45"/>
  <cols>
    <col min="1" max="1" width="26.6640625" style="63" customWidth="1"/>
    <col min="2" max="2" width="13" style="63" customWidth="1"/>
    <col min="3" max="3" width="9.1328125" style="63"/>
    <col min="4" max="4" width="23.46484375" style="63" bestFit="1" customWidth="1"/>
    <col min="5" max="8" width="9.53125" style="63" customWidth="1"/>
    <col min="9" max="28" width="11.19921875" style="63" bestFit="1" customWidth="1"/>
    <col min="29" max="29" width="12.265625" style="63" bestFit="1" customWidth="1"/>
    <col min="30" max="30" width="9.53125" style="63" bestFit="1" customWidth="1"/>
    <col min="31" max="33" width="10.1328125" style="63" bestFit="1" customWidth="1"/>
    <col min="34" max="34" width="12.265625" style="63" bestFit="1" customWidth="1"/>
    <col min="35" max="35" width="9.6640625" style="63" bestFit="1" customWidth="1"/>
    <col min="36" max="16384" width="9.1328125" style="63"/>
  </cols>
  <sheetData>
    <row r="1" spans="1:34" s="2" customFormat="1" x14ac:dyDescent="0.4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2" customFormat="1" ht="13.15" x14ac:dyDescent="0.4">
      <c r="B2" s="3"/>
      <c r="C2" s="3"/>
      <c r="E2" s="3">
        <v>2019</v>
      </c>
      <c r="F2" s="3">
        <f>E2+1</f>
        <v>2020</v>
      </c>
      <c r="G2" s="3">
        <f t="shared" ref="G2:AH2" si="0">F2+1</f>
        <v>2021</v>
      </c>
      <c r="H2" s="3">
        <f t="shared" si="0"/>
        <v>2022</v>
      </c>
      <c r="I2" s="3">
        <f t="shared" si="0"/>
        <v>2023</v>
      </c>
      <c r="J2" s="3">
        <f t="shared" si="0"/>
        <v>2024</v>
      </c>
      <c r="K2" s="3">
        <f t="shared" si="0"/>
        <v>2025</v>
      </c>
      <c r="L2" s="3">
        <f t="shared" si="0"/>
        <v>2026</v>
      </c>
      <c r="M2" s="3">
        <f t="shared" si="0"/>
        <v>2027</v>
      </c>
      <c r="N2" s="3">
        <f t="shared" si="0"/>
        <v>2028</v>
      </c>
      <c r="O2" s="3">
        <f t="shared" si="0"/>
        <v>2029</v>
      </c>
      <c r="P2" s="3">
        <f t="shared" si="0"/>
        <v>2030</v>
      </c>
      <c r="Q2" s="3">
        <f t="shared" si="0"/>
        <v>2031</v>
      </c>
      <c r="R2" s="3">
        <f t="shared" si="0"/>
        <v>2032</v>
      </c>
      <c r="S2" s="3">
        <f t="shared" si="0"/>
        <v>2033</v>
      </c>
      <c r="T2" s="3">
        <f t="shared" si="0"/>
        <v>2034</v>
      </c>
      <c r="U2" s="3">
        <f t="shared" si="0"/>
        <v>2035</v>
      </c>
      <c r="V2" s="3">
        <f t="shared" si="0"/>
        <v>2036</v>
      </c>
      <c r="W2" s="3">
        <f t="shared" si="0"/>
        <v>2037</v>
      </c>
      <c r="X2" s="3">
        <f t="shared" si="0"/>
        <v>2038</v>
      </c>
      <c r="Y2" s="3">
        <f t="shared" si="0"/>
        <v>2039</v>
      </c>
      <c r="Z2" s="3">
        <f t="shared" si="0"/>
        <v>2040</v>
      </c>
      <c r="AA2" s="3">
        <f t="shared" si="0"/>
        <v>2041</v>
      </c>
      <c r="AB2" s="3">
        <f t="shared" si="0"/>
        <v>2042</v>
      </c>
      <c r="AC2" s="3">
        <f t="shared" si="0"/>
        <v>2043</v>
      </c>
      <c r="AD2" s="3">
        <f t="shared" si="0"/>
        <v>2044</v>
      </c>
      <c r="AE2" s="3">
        <f t="shared" si="0"/>
        <v>2045</v>
      </c>
      <c r="AF2" s="3">
        <f t="shared" si="0"/>
        <v>2046</v>
      </c>
      <c r="AG2" s="3">
        <f t="shared" si="0"/>
        <v>2047</v>
      </c>
      <c r="AH2" s="3">
        <f t="shared" si="0"/>
        <v>2048</v>
      </c>
    </row>
    <row r="3" spans="1:34" s="2" customFormat="1" ht="13.5" thickBot="1" x14ac:dyDescent="0.45">
      <c r="A3" s="4" t="s">
        <v>60</v>
      </c>
      <c r="B3" s="4"/>
      <c r="C3" s="3"/>
      <c r="D3" s="5" t="s">
        <v>0</v>
      </c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6">
        <v>13</v>
      </c>
      <c r="R3" s="6">
        <v>14</v>
      </c>
      <c r="S3" s="6">
        <v>15</v>
      </c>
      <c r="T3" s="6">
        <v>16</v>
      </c>
      <c r="U3" s="6">
        <v>17</v>
      </c>
      <c r="V3" s="6">
        <v>18</v>
      </c>
      <c r="W3" s="6">
        <v>19</v>
      </c>
      <c r="X3" s="6">
        <v>20</v>
      </c>
      <c r="Y3" s="6">
        <v>21</v>
      </c>
      <c r="Z3" s="6">
        <v>22</v>
      </c>
      <c r="AA3" s="6">
        <v>23</v>
      </c>
      <c r="AB3" s="6">
        <v>24</v>
      </c>
      <c r="AC3" s="6">
        <v>25</v>
      </c>
      <c r="AD3" s="6">
        <v>26</v>
      </c>
      <c r="AE3" s="6">
        <v>27</v>
      </c>
      <c r="AF3" s="6">
        <v>28</v>
      </c>
      <c r="AG3" s="6">
        <v>29</v>
      </c>
      <c r="AH3" s="6">
        <v>30</v>
      </c>
    </row>
    <row r="4" spans="1:34" s="2" customFormat="1" ht="13.5" thickBot="1" x14ac:dyDescent="0.45">
      <c r="A4" s="4" t="s">
        <v>1</v>
      </c>
      <c r="B4" s="8">
        <v>30</v>
      </c>
      <c r="C4" s="3"/>
      <c r="D4" s="4" t="s">
        <v>2</v>
      </c>
      <c r="E4" s="7">
        <f>B4*B5</f>
        <v>25500</v>
      </c>
      <c r="F4" s="7">
        <f>IF(F3&gt;$B$6,0,E4-(E4*$B$7))</f>
        <v>25372.5</v>
      </c>
      <c r="G4" s="7">
        <f t="shared" ref="G4:AH4" si="1">IF(G3&gt;$B$6,0,F4-(F4*$B$7))</f>
        <v>25245.637500000001</v>
      </c>
      <c r="H4" s="7">
        <f t="shared" si="1"/>
        <v>25119.4093125</v>
      </c>
      <c r="I4" s="7">
        <f t="shared" si="1"/>
        <v>24993.8122659375</v>
      </c>
      <c r="J4" s="7">
        <f t="shared" si="1"/>
        <v>24868.843204607812</v>
      </c>
      <c r="K4" s="7">
        <f t="shared" si="1"/>
        <v>24744.498988584772</v>
      </c>
      <c r="L4" s="7">
        <f t="shared" si="1"/>
        <v>24620.776493641846</v>
      </c>
      <c r="M4" s="7">
        <f t="shared" si="1"/>
        <v>24497.672611173635</v>
      </c>
      <c r="N4" s="7">
        <f t="shared" si="1"/>
        <v>24375.184248117766</v>
      </c>
      <c r="O4" s="7">
        <f t="shared" si="1"/>
        <v>24253.308326877177</v>
      </c>
      <c r="P4" s="7">
        <f t="shared" si="1"/>
        <v>24132.041785242793</v>
      </c>
      <c r="Q4" s="7">
        <f t="shared" si="1"/>
        <v>24011.38157631658</v>
      </c>
      <c r="R4" s="7">
        <f t="shared" si="1"/>
        <v>23891.324668434998</v>
      </c>
      <c r="S4" s="7">
        <f t="shared" si="1"/>
        <v>23771.868045092822</v>
      </c>
      <c r="T4" s="7">
        <f t="shared" si="1"/>
        <v>23653.008704867359</v>
      </c>
      <c r="U4" s="7">
        <f t="shared" si="1"/>
        <v>23534.743661343022</v>
      </c>
      <c r="V4" s="7">
        <f t="shared" si="1"/>
        <v>23417.069943036306</v>
      </c>
      <c r="W4" s="7">
        <f t="shared" si="1"/>
        <v>23299.984593321125</v>
      </c>
      <c r="X4" s="7">
        <f t="shared" si="1"/>
        <v>23183.484670354519</v>
      </c>
      <c r="Y4" s="7">
        <f t="shared" si="1"/>
        <v>23067.567247002746</v>
      </c>
      <c r="Z4" s="7">
        <f t="shared" si="1"/>
        <v>22952.229410767733</v>
      </c>
      <c r="AA4" s="7">
        <f t="shared" si="1"/>
        <v>22837.468263713894</v>
      </c>
      <c r="AB4" s="7">
        <f t="shared" si="1"/>
        <v>22723.280922395323</v>
      </c>
      <c r="AC4" s="7">
        <f t="shared" si="1"/>
        <v>22609.664517783345</v>
      </c>
      <c r="AD4" s="7">
        <f t="shared" si="1"/>
        <v>0</v>
      </c>
      <c r="AE4" s="7">
        <f t="shared" si="1"/>
        <v>0</v>
      </c>
      <c r="AF4" s="7">
        <f t="shared" si="1"/>
        <v>0</v>
      </c>
      <c r="AG4" s="7">
        <f t="shared" si="1"/>
        <v>0</v>
      </c>
      <c r="AH4" s="7">
        <f t="shared" si="1"/>
        <v>0</v>
      </c>
    </row>
    <row r="5" spans="1:34" s="2" customFormat="1" ht="13.5" thickBot="1" x14ac:dyDescent="0.45">
      <c r="A5" s="4" t="s">
        <v>35</v>
      </c>
      <c r="B5" s="8">
        <v>850</v>
      </c>
      <c r="C5" s="3"/>
      <c r="D5" s="9" t="s">
        <v>3</v>
      </c>
      <c r="E5" s="7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2" customFormat="1" ht="13.5" thickBot="1" x14ac:dyDescent="0.45">
      <c r="A6" s="4" t="s">
        <v>58</v>
      </c>
      <c r="B6" s="8">
        <v>25</v>
      </c>
      <c r="C6" s="3"/>
      <c r="D6" s="4" t="s">
        <v>5</v>
      </c>
      <c r="E6" s="84">
        <f>B8</f>
        <v>0</v>
      </c>
      <c r="F6" s="12">
        <f t="shared" ref="F6:AH6" si="2">E6+(E6*$B$9)</f>
        <v>0</v>
      </c>
      <c r="G6" s="12">
        <f t="shared" si="2"/>
        <v>0</v>
      </c>
      <c r="H6" s="12">
        <f t="shared" si="2"/>
        <v>0</v>
      </c>
      <c r="I6" s="12">
        <f t="shared" si="2"/>
        <v>0</v>
      </c>
      <c r="J6" s="12">
        <f t="shared" si="2"/>
        <v>0</v>
      </c>
      <c r="K6" s="12">
        <f t="shared" si="2"/>
        <v>0</v>
      </c>
      <c r="L6" s="12">
        <f t="shared" si="2"/>
        <v>0</v>
      </c>
      <c r="M6" s="12">
        <f t="shared" si="2"/>
        <v>0</v>
      </c>
      <c r="N6" s="12">
        <f t="shared" si="2"/>
        <v>0</v>
      </c>
      <c r="O6" s="12">
        <f t="shared" si="2"/>
        <v>0</v>
      </c>
      <c r="P6" s="12">
        <f t="shared" si="2"/>
        <v>0</v>
      </c>
      <c r="Q6" s="12">
        <f t="shared" si="2"/>
        <v>0</v>
      </c>
      <c r="R6" s="12">
        <f t="shared" si="2"/>
        <v>0</v>
      </c>
      <c r="S6" s="12">
        <f t="shared" si="2"/>
        <v>0</v>
      </c>
      <c r="T6" s="12">
        <f t="shared" si="2"/>
        <v>0</v>
      </c>
      <c r="U6" s="12">
        <f t="shared" si="2"/>
        <v>0</v>
      </c>
      <c r="V6" s="12">
        <f t="shared" si="2"/>
        <v>0</v>
      </c>
      <c r="W6" s="12">
        <f t="shared" si="2"/>
        <v>0</v>
      </c>
      <c r="X6" s="12">
        <f t="shared" si="2"/>
        <v>0</v>
      </c>
      <c r="Y6" s="12">
        <f t="shared" si="2"/>
        <v>0</v>
      </c>
      <c r="Z6" s="12">
        <f t="shared" si="2"/>
        <v>0</v>
      </c>
      <c r="AA6" s="12">
        <f t="shared" si="2"/>
        <v>0</v>
      </c>
      <c r="AB6" s="12">
        <f t="shared" si="2"/>
        <v>0</v>
      </c>
      <c r="AC6" s="12">
        <f t="shared" si="2"/>
        <v>0</v>
      </c>
      <c r="AD6" s="12">
        <f t="shared" si="2"/>
        <v>0</v>
      </c>
      <c r="AE6" s="12">
        <f t="shared" si="2"/>
        <v>0</v>
      </c>
      <c r="AF6" s="12">
        <f t="shared" si="2"/>
        <v>0</v>
      </c>
      <c r="AG6" s="12">
        <f t="shared" si="2"/>
        <v>0</v>
      </c>
      <c r="AH6" s="12">
        <f t="shared" si="2"/>
        <v>0</v>
      </c>
    </row>
    <row r="7" spans="1:34" s="2" customFormat="1" ht="13.5" thickBot="1" x14ac:dyDescent="0.45">
      <c r="A7" s="4" t="s">
        <v>65</v>
      </c>
      <c r="B7" s="103">
        <v>5.0000000000000001E-3</v>
      </c>
      <c r="C7" s="11"/>
      <c r="D7" s="9" t="str">
        <f>"Energy Inflation @ "&amp;TEXT(B9,"0%")</f>
        <v>Energy Inflation @ 0%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s="2" customFormat="1" ht="13.5" thickBot="1" x14ac:dyDescent="0.45">
      <c r="A8" s="81" t="s">
        <v>4</v>
      </c>
      <c r="B8" s="92">
        <v>0</v>
      </c>
      <c r="C8" s="14"/>
      <c r="D8" s="4" t="s">
        <v>50</v>
      </c>
      <c r="E8" s="84">
        <v>0.12</v>
      </c>
      <c r="F8" s="12">
        <f t="shared" ref="F8:AH8" si="3">E8+(E8*$B$11)</f>
        <v>0.12239999999999999</v>
      </c>
      <c r="G8" s="12">
        <f t="shared" si="3"/>
        <v>0.124848</v>
      </c>
      <c r="H8" s="12">
        <f t="shared" si="3"/>
        <v>0.12734496000000001</v>
      </c>
      <c r="I8" s="12">
        <f t="shared" si="3"/>
        <v>0.12989185920000001</v>
      </c>
      <c r="J8" s="12">
        <f t="shared" si="3"/>
        <v>0.13248969638400002</v>
      </c>
      <c r="K8" s="12">
        <f t="shared" si="3"/>
        <v>0.13513949031168002</v>
      </c>
      <c r="L8" s="12">
        <f t="shared" si="3"/>
        <v>0.13784228011791361</v>
      </c>
      <c r="M8" s="12">
        <f t="shared" si="3"/>
        <v>0.14059912572027189</v>
      </c>
      <c r="N8" s="12">
        <f t="shared" si="3"/>
        <v>0.14341110823467731</v>
      </c>
      <c r="O8" s="12">
        <f t="shared" si="3"/>
        <v>0.14627933039937085</v>
      </c>
      <c r="P8" s="12">
        <f t="shared" si="3"/>
        <v>0.14920491700735827</v>
      </c>
      <c r="Q8" s="12">
        <f t="shared" si="3"/>
        <v>0.15218901534750545</v>
      </c>
      <c r="R8" s="12">
        <f t="shared" si="3"/>
        <v>0.15523279565445555</v>
      </c>
      <c r="S8" s="12">
        <f t="shared" si="3"/>
        <v>0.15833745156754467</v>
      </c>
      <c r="T8" s="12">
        <f t="shared" si="3"/>
        <v>0.16150420059889556</v>
      </c>
      <c r="U8" s="12">
        <f t="shared" si="3"/>
        <v>0.16473428461087347</v>
      </c>
      <c r="V8" s="12">
        <f t="shared" si="3"/>
        <v>0.16802897030309094</v>
      </c>
      <c r="W8" s="12">
        <f t="shared" si="3"/>
        <v>0.17138954970915277</v>
      </c>
      <c r="X8" s="12">
        <f t="shared" si="3"/>
        <v>0.17481734070333582</v>
      </c>
      <c r="Y8" s="12">
        <f t="shared" si="3"/>
        <v>0.17831368751740254</v>
      </c>
      <c r="Z8" s="12">
        <f t="shared" si="3"/>
        <v>0.18187996126775058</v>
      </c>
      <c r="AA8" s="12">
        <f t="shared" si="3"/>
        <v>0.18551756049310558</v>
      </c>
      <c r="AB8" s="12">
        <f t="shared" si="3"/>
        <v>0.18922791170296768</v>
      </c>
      <c r="AC8" s="12">
        <f t="shared" si="3"/>
        <v>0.19301246993702703</v>
      </c>
      <c r="AD8" s="12">
        <f t="shared" si="3"/>
        <v>0.19687271933576758</v>
      </c>
      <c r="AE8" s="12">
        <f t="shared" si="3"/>
        <v>0.20081017372248294</v>
      </c>
      <c r="AF8" s="12">
        <f t="shared" si="3"/>
        <v>0.20482637719693261</v>
      </c>
      <c r="AG8" s="12">
        <f t="shared" si="3"/>
        <v>0.20892290474087127</v>
      </c>
      <c r="AH8" s="12">
        <f t="shared" si="3"/>
        <v>0.2131013628356887</v>
      </c>
    </row>
    <row r="9" spans="1:34" s="2" customFormat="1" ht="13.5" thickBot="1" x14ac:dyDescent="0.45">
      <c r="A9" s="81" t="s">
        <v>52</v>
      </c>
      <c r="B9" s="93">
        <v>0</v>
      </c>
      <c r="C9" s="3"/>
      <c r="D9" s="9" t="str">
        <f>"Energy Inflation @ "&amp;TEXT(B11,"0%")</f>
        <v>Energy Inflation @ 2%</v>
      </c>
      <c r="E9" s="8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2" customFormat="1" ht="13.5" thickBot="1" x14ac:dyDescent="0.45">
      <c r="A10" s="4" t="s">
        <v>62</v>
      </c>
      <c r="B10" s="13">
        <v>0.02</v>
      </c>
      <c r="C10" s="3"/>
      <c r="D10" s="4" t="s">
        <v>9</v>
      </c>
      <c r="E10" s="84">
        <v>0.06</v>
      </c>
      <c r="F10" s="12">
        <f t="shared" ref="F10:AH10" si="4">E10+(E10*$B$12)</f>
        <v>6.1199999999999997E-2</v>
      </c>
      <c r="G10" s="12">
        <f t="shared" si="4"/>
        <v>6.2424E-2</v>
      </c>
      <c r="H10" s="12">
        <f t="shared" si="4"/>
        <v>6.3672480000000004E-2</v>
      </c>
      <c r="I10" s="12">
        <f t="shared" si="4"/>
        <v>6.4945929600000007E-2</v>
      </c>
      <c r="J10" s="12">
        <f t="shared" si="4"/>
        <v>6.6244848192000008E-2</v>
      </c>
      <c r="K10" s="12">
        <f t="shared" si="4"/>
        <v>6.7569745155840008E-2</v>
      </c>
      <c r="L10" s="12">
        <f t="shared" si="4"/>
        <v>6.8921140058956804E-2</v>
      </c>
      <c r="M10" s="12">
        <f t="shared" si="4"/>
        <v>7.0299562860135945E-2</v>
      </c>
      <c r="N10" s="12">
        <f t="shared" si="4"/>
        <v>7.1705554117338657E-2</v>
      </c>
      <c r="O10" s="12">
        <f t="shared" si="4"/>
        <v>7.3139665199685427E-2</v>
      </c>
      <c r="P10" s="12">
        <f t="shared" si="4"/>
        <v>7.4602458503679137E-2</v>
      </c>
      <c r="Q10" s="12">
        <f t="shared" si="4"/>
        <v>7.6094507673752726E-2</v>
      </c>
      <c r="R10" s="12">
        <f t="shared" si="4"/>
        <v>7.7616397827227776E-2</v>
      </c>
      <c r="S10" s="12">
        <f t="shared" si="4"/>
        <v>7.9168725783772334E-2</v>
      </c>
      <c r="T10" s="12">
        <f t="shared" si="4"/>
        <v>8.0752100299447779E-2</v>
      </c>
      <c r="U10" s="12">
        <f t="shared" si="4"/>
        <v>8.2367142305436736E-2</v>
      </c>
      <c r="V10" s="12">
        <f t="shared" si="4"/>
        <v>8.401448515154547E-2</v>
      </c>
      <c r="W10" s="12">
        <f t="shared" si="4"/>
        <v>8.5694774854576383E-2</v>
      </c>
      <c r="X10" s="12">
        <f t="shared" si="4"/>
        <v>8.7408670351667911E-2</v>
      </c>
      <c r="Y10" s="12">
        <f t="shared" si="4"/>
        <v>8.9156843758701268E-2</v>
      </c>
      <c r="Z10" s="12">
        <f t="shared" si="4"/>
        <v>9.0939980633875289E-2</v>
      </c>
      <c r="AA10" s="12">
        <f t="shared" si="4"/>
        <v>9.2758780246552791E-2</v>
      </c>
      <c r="AB10" s="12">
        <f t="shared" si="4"/>
        <v>9.4613955851483841E-2</v>
      </c>
      <c r="AC10" s="12">
        <f t="shared" si="4"/>
        <v>9.6506234968513516E-2</v>
      </c>
      <c r="AD10" s="12">
        <f t="shared" si="4"/>
        <v>9.8436359667883791E-2</v>
      </c>
      <c r="AE10" s="12">
        <f t="shared" si="4"/>
        <v>0.10040508686124147</v>
      </c>
      <c r="AF10" s="12">
        <f t="shared" si="4"/>
        <v>0.10241318859846631</v>
      </c>
      <c r="AG10" s="12">
        <f t="shared" si="4"/>
        <v>0.10446145237043564</v>
      </c>
      <c r="AH10" s="12">
        <f t="shared" si="4"/>
        <v>0.10655068141784435</v>
      </c>
    </row>
    <row r="11" spans="1:34" s="2" customFormat="1" ht="13.5" thickBot="1" x14ac:dyDescent="0.45">
      <c r="A11" s="4" t="s">
        <v>53</v>
      </c>
      <c r="B11" s="13">
        <v>0.02</v>
      </c>
      <c r="C11" s="3"/>
      <c r="D11" s="9" t="str">
        <f>"Energy Inflation @ "&amp;TEXT(B12,"0%")</f>
        <v>Energy Inflation @ 2%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2" customFormat="1" ht="13.5" thickBot="1" x14ac:dyDescent="0.45">
      <c r="A12" s="4" t="s">
        <v>54</v>
      </c>
      <c r="B12" s="13">
        <v>0.02</v>
      </c>
    </row>
    <row r="13" spans="1:34" s="2" customFormat="1" ht="13.5" thickBot="1" x14ac:dyDescent="0.45">
      <c r="A13" s="4" t="s">
        <v>63</v>
      </c>
      <c r="B13" s="13">
        <v>0.01</v>
      </c>
    </row>
    <row r="14" spans="1:34" s="2" customFormat="1" ht="13.5" thickBot="1" x14ac:dyDescent="0.45">
      <c r="A14" s="4" t="s">
        <v>6</v>
      </c>
      <c r="B14" s="13">
        <v>0.9</v>
      </c>
      <c r="C14" s="3"/>
    </row>
    <row r="15" spans="1:34" s="2" customFormat="1" ht="13.5" thickBot="1" x14ac:dyDescent="0.45">
      <c r="A15" s="81" t="s">
        <v>7</v>
      </c>
      <c r="B15" s="93">
        <f>1-B14</f>
        <v>9.9999999999999978E-2</v>
      </c>
      <c r="C15" s="3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34" s="2" customFormat="1" ht="13.5" thickBot="1" x14ac:dyDescent="0.45">
      <c r="A16" s="4" t="s">
        <v>51</v>
      </c>
      <c r="B16" s="79">
        <v>0.05</v>
      </c>
      <c r="C16" s="3"/>
      <c r="D16" s="7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</row>
    <row r="17" spans="1:34" s="2" customFormat="1" ht="13.5" thickBot="1" x14ac:dyDescent="0.45">
      <c r="A17" s="4" t="s">
        <v>55</v>
      </c>
      <c r="B17" s="15">
        <v>1000</v>
      </c>
      <c r="C17" s="3"/>
      <c r="D17" s="77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</row>
    <row r="18" spans="1:34" s="2" customFormat="1" ht="13.5" thickBot="1" x14ac:dyDescent="0.45">
      <c r="A18" s="81" t="s">
        <v>8</v>
      </c>
      <c r="B18" s="94">
        <f>B17*B4</f>
        <v>30000</v>
      </c>
      <c r="C18" s="3"/>
      <c r="D18" s="77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</row>
    <row r="19" spans="1:34" s="2" customFormat="1" ht="13.5" thickBot="1" x14ac:dyDescent="0.45">
      <c r="A19" s="4" t="s">
        <v>36</v>
      </c>
      <c r="B19" s="15">
        <v>0</v>
      </c>
      <c r="C19" s="3"/>
    </row>
    <row r="20" spans="1:34" s="2" customFormat="1" ht="13.5" thickBot="1" x14ac:dyDescent="0.45">
      <c r="A20" s="4" t="s">
        <v>10</v>
      </c>
      <c r="B20" s="16">
        <f>B18+B19-B34</f>
        <v>25000</v>
      </c>
      <c r="C20" s="3"/>
    </row>
    <row r="21" spans="1:34" s="2" customFormat="1" ht="15.75" thickBot="1" x14ac:dyDescent="0.6">
      <c r="A21" s="4" t="s">
        <v>56</v>
      </c>
      <c r="B21" s="80">
        <v>0.34</v>
      </c>
      <c r="C21" s="3"/>
      <c r="D21" s="4" t="s">
        <v>11</v>
      </c>
      <c r="E21" s="17">
        <f>IF(E3&gt;$B$6,0,(E4*$B$21)/1000)</f>
        <v>8.67</v>
      </c>
      <c r="F21" s="17">
        <f t="shared" ref="F21:AH21" si="5">IF(F3&gt;$B$6,0,(F4*$B$21)/1000)</f>
        <v>8.6266500000000015</v>
      </c>
      <c r="G21" s="17">
        <f t="shared" si="5"/>
        <v>8.5835167500000011</v>
      </c>
      <c r="H21" s="17">
        <f t="shared" si="5"/>
        <v>8.5405991662500007</v>
      </c>
      <c r="I21" s="17">
        <f t="shared" si="5"/>
        <v>8.4978961704187519</v>
      </c>
      <c r="J21" s="17">
        <f t="shared" si="5"/>
        <v>8.4554066895666562</v>
      </c>
      <c r="K21" s="17">
        <f t="shared" si="5"/>
        <v>8.4131296561188229</v>
      </c>
      <c r="L21" s="17">
        <f t="shared" si="5"/>
        <v>8.3710640078382283</v>
      </c>
      <c r="M21" s="17">
        <f t="shared" si="5"/>
        <v>8.3292086877990368</v>
      </c>
      <c r="N21" s="17">
        <f t="shared" si="5"/>
        <v>8.2875626443600421</v>
      </c>
      <c r="O21" s="17">
        <f t="shared" si="5"/>
        <v>8.2461248311382409</v>
      </c>
      <c r="P21" s="17">
        <f t="shared" si="5"/>
        <v>8.2048942069825497</v>
      </c>
      <c r="Q21" s="17">
        <f t="shared" si="5"/>
        <v>8.1638697359476389</v>
      </c>
      <c r="R21" s="17">
        <f t="shared" si="5"/>
        <v>8.1230503872679005</v>
      </c>
      <c r="S21" s="17">
        <f t="shared" si="5"/>
        <v>8.0824351353315613</v>
      </c>
      <c r="T21" s="17">
        <f t="shared" si="5"/>
        <v>8.0420229596549024</v>
      </c>
      <c r="U21" s="17">
        <f t="shared" si="5"/>
        <v>8.0018128448566284</v>
      </c>
      <c r="V21" s="17">
        <f t="shared" si="5"/>
        <v>7.9618037806323443</v>
      </c>
      <c r="W21" s="17">
        <f t="shared" si="5"/>
        <v>7.9219947617291835</v>
      </c>
      <c r="X21" s="17">
        <f t="shared" si="5"/>
        <v>7.8823847879205369</v>
      </c>
      <c r="Y21" s="17">
        <f t="shared" si="5"/>
        <v>7.8429728639809335</v>
      </c>
      <c r="Z21" s="17">
        <f t="shared" si="5"/>
        <v>7.8037579996610305</v>
      </c>
      <c r="AA21" s="17">
        <f t="shared" si="5"/>
        <v>7.7647392096627241</v>
      </c>
      <c r="AB21" s="17">
        <f t="shared" si="5"/>
        <v>7.7259155136144102</v>
      </c>
      <c r="AC21" s="17">
        <f t="shared" si="5"/>
        <v>7.6872859360463384</v>
      </c>
      <c r="AD21" s="17">
        <f t="shared" si="5"/>
        <v>0</v>
      </c>
      <c r="AE21" s="17">
        <f t="shared" si="5"/>
        <v>0</v>
      </c>
      <c r="AF21" s="17">
        <f t="shared" si="5"/>
        <v>0</v>
      </c>
      <c r="AG21" s="17">
        <f t="shared" si="5"/>
        <v>0</v>
      </c>
      <c r="AH21" s="17">
        <f t="shared" si="5"/>
        <v>0</v>
      </c>
    </row>
    <row r="22" spans="1:34" s="2" customFormat="1" ht="13.15" x14ac:dyDescent="0.4"/>
    <row r="23" spans="1:34" s="2" customFormat="1" ht="13.15" x14ac:dyDescent="0.4">
      <c r="A23" s="18" t="str">
        <f>"Total Income "&amp;B6&amp;" year view"</f>
        <v>Total Income 25 year view</v>
      </c>
      <c r="B23" s="19"/>
      <c r="C23" s="3"/>
      <c r="D23" s="18" t="s">
        <v>43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s="2" customFormat="1" ht="13.15" x14ac:dyDescent="0.4">
      <c r="A24" s="20" t="s">
        <v>12</v>
      </c>
      <c r="B24" s="21">
        <f>SUMIF($E$3:$AH$3,"&lt;"&amp;$B$6+1,E24:AH24)</f>
        <v>0</v>
      </c>
      <c r="C24" s="3"/>
      <c r="D24" s="18" t="s">
        <v>61</v>
      </c>
      <c r="E24" s="21">
        <f t="shared" ref="E24:AH24" si="6">E4*E6</f>
        <v>0</v>
      </c>
      <c r="F24" s="21">
        <f t="shared" si="6"/>
        <v>0</v>
      </c>
      <c r="G24" s="21">
        <f t="shared" si="6"/>
        <v>0</v>
      </c>
      <c r="H24" s="21">
        <f t="shared" si="6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1">
        <f t="shared" si="6"/>
        <v>0</v>
      </c>
      <c r="M24" s="21">
        <f t="shared" si="6"/>
        <v>0</v>
      </c>
      <c r="N24" s="21">
        <f t="shared" si="6"/>
        <v>0</v>
      </c>
      <c r="O24" s="21">
        <f t="shared" si="6"/>
        <v>0</v>
      </c>
      <c r="P24" s="21">
        <f t="shared" si="6"/>
        <v>0</v>
      </c>
      <c r="Q24" s="21">
        <f t="shared" si="6"/>
        <v>0</v>
      </c>
      <c r="R24" s="21">
        <f t="shared" si="6"/>
        <v>0</v>
      </c>
      <c r="S24" s="21">
        <f t="shared" si="6"/>
        <v>0</v>
      </c>
      <c r="T24" s="21">
        <f t="shared" si="6"/>
        <v>0</v>
      </c>
      <c r="U24" s="21">
        <f t="shared" si="6"/>
        <v>0</v>
      </c>
      <c r="V24" s="21">
        <f t="shared" si="6"/>
        <v>0</v>
      </c>
      <c r="W24" s="21">
        <f t="shared" si="6"/>
        <v>0</v>
      </c>
      <c r="X24" s="21">
        <f t="shared" si="6"/>
        <v>0</v>
      </c>
      <c r="Y24" s="21">
        <f t="shared" si="6"/>
        <v>0</v>
      </c>
      <c r="Z24" s="21">
        <f t="shared" si="6"/>
        <v>0</v>
      </c>
      <c r="AA24" s="21">
        <f t="shared" si="6"/>
        <v>0</v>
      </c>
      <c r="AB24" s="21">
        <f t="shared" si="6"/>
        <v>0</v>
      </c>
      <c r="AC24" s="21">
        <f t="shared" si="6"/>
        <v>0</v>
      </c>
      <c r="AD24" s="21">
        <f t="shared" si="6"/>
        <v>0</v>
      </c>
      <c r="AE24" s="21">
        <f t="shared" si="6"/>
        <v>0</v>
      </c>
      <c r="AF24" s="21">
        <f t="shared" si="6"/>
        <v>0</v>
      </c>
      <c r="AG24" s="21">
        <f t="shared" si="6"/>
        <v>0</v>
      </c>
      <c r="AH24" s="21">
        <f t="shared" si="6"/>
        <v>0</v>
      </c>
    </row>
    <row r="25" spans="1:34" s="2" customFormat="1" ht="13.15" x14ac:dyDescent="0.4">
      <c r="A25" s="20" t="s">
        <v>13</v>
      </c>
      <c r="B25" s="21">
        <f>SUMIF($E$3:$AH$3,"&lt;"&amp;$B$6+1,E25:AH25)</f>
        <v>82689.463461805208</v>
      </c>
      <c r="C25" s="3"/>
      <c r="D25" s="18" t="s">
        <v>44</v>
      </c>
      <c r="E25" s="21">
        <f t="shared" ref="E25:AH25" si="7">E4*$B$14*E8</f>
        <v>2754</v>
      </c>
      <c r="F25" s="21">
        <f t="shared" si="7"/>
        <v>2795.0346</v>
      </c>
      <c r="G25" s="21">
        <f t="shared" si="7"/>
        <v>2836.68061554</v>
      </c>
      <c r="H25" s="21">
        <f t="shared" si="7"/>
        <v>2878.9471567115461</v>
      </c>
      <c r="I25" s="21">
        <f t="shared" si="7"/>
        <v>2921.8434693465488</v>
      </c>
      <c r="J25" s="21">
        <f t="shared" si="7"/>
        <v>2965.3789370398122</v>
      </c>
      <c r="K25" s="21">
        <f t="shared" si="7"/>
        <v>3009.563083201705</v>
      </c>
      <c r="L25" s="21">
        <f t="shared" si="7"/>
        <v>3054.4055731414101</v>
      </c>
      <c r="M25" s="21">
        <f t="shared" si="7"/>
        <v>3099.9162161812174</v>
      </c>
      <c r="N25" s="21">
        <f t="shared" si="7"/>
        <v>3146.1049678023169</v>
      </c>
      <c r="O25" s="21">
        <f t="shared" si="7"/>
        <v>3192.9819318225714</v>
      </c>
      <c r="P25" s="21">
        <f t="shared" si="7"/>
        <v>3240.5573626067276</v>
      </c>
      <c r="Q25" s="21">
        <f t="shared" si="7"/>
        <v>3288.8416673095685</v>
      </c>
      <c r="R25" s="21">
        <f t="shared" si="7"/>
        <v>3337.8454081524806</v>
      </c>
      <c r="S25" s="21">
        <f t="shared" si="7"/>
        <v>3387.579304733953</v>
      </c>
      <c r="T25" s="21">
        <f t="shared" si="7"/>
        <v>3438.0542363744889</v>
      </c>
      <c r="U25" s="21">
        <f t="shared" si="7"/>
        <v>3489.2812444964688</v>
      </c>
      <c r="V25" s="21">
        <f t="shared" si="7"/>
        <v>3541.271535039466</v>
      </c>
      <c r="W25" s="21">
        <f t="shared" si="7"/>
        <v>3594.036480911554</v>
      </c>
      <c r="X25" s="21">
        <f t="shared" si="7"/>
        <v>3647.5876244771362</v>
      </c>
      <c r="Y25" s="21">
        <f t="shared" si="7"/>
        <v>3701.9366800818457</v>
      </c>
      <c r="Z25" s="21">
        <f t="shared" si="7"/>
        <v>3757.0955366150652</v>
      </c>
      <c r="AA25" s="21">
        <f t="shared" si="7"/>
        <v>3813.0762601106294</v>
      </c>
      <c r="AB25" s="21">
        <f t="shared" si="7"/>
        <v>3869.8910963862772</v>
      </c>
      <c r="AC25" s="21">
        <f t="shared" si="7"/>
        <v>3927.5524737224323</v>
      </c>
      <c r="AD25" s="21">
        <f t="shared" si="7"/>
        <v>0</v>
      </c>
      <c r="AE25" s="21">
        <f t="shared" si="7"/>
        <v>0</v>
      </c>
      <c r="AF25" s="21">
        <f t="shared" si="7"/>
        <v>0</v>
      </c>
      <c r="AG25" s="21">
        <f t="shared" si="7"/>
        <v>0</v>
      </c>
      <c r="AH25" s="21">
        <f t="shared" si="7"/>
        <v>0</v>
      </c>
    </row>
    <row r="26" spans="1:34" s="2" customFormat="1" ht="13.15" x14ac:dyDescent="0.4">
      <c r="A26" s="20" t="s">
        <v>14</v>
      </c>
      <c r="B26" s="21">
        <f>SUMIF($E$3:$AH$3,"&lt;"&amp;$B$6+1,E26:AH26)</f>
        <v>4593.8590812113989</v>
      </c>
      <c r="C26" s="3"/>
      <c r="D26" s="18" t="s">
        <v>45</v>
      </c>
      <c r="E26" s="21">
        <f t="shared" ref="E26:AH26" si="8">E4*$B$15*E10</f>
        <v>152.99999999999997</v>
      </c>
      <c r="F26" s="21">
        <f t="shared" si="8"/>
        <v>155.27969999999996</v>
      </c>
      <c r="G26" s="21">
        <f t="shared" si="8"/>
        <v>157.59336752999997</v>
      </c>
      <c r="H26" s="21">
        <f t="shared" si="8"/>
        <v>159.94150870619697</v>
      </c>
      <c r="I26" s="21">
        <f t="shared" si="8"/>
        <v>162.32463718591933</v>
      </c>
      <c r="J26" s="21">
        <f t="shared" si="8"/>
        <v>164.74327427998952</v>
      </c>
      <c r="K26" s="21">
        <f t="shared" si="8"/>
        <v>167.19794906676134</v>
      </c>
      <c r="L26" s="21">
        <f t="shared" si="8"/>
        <v>169.68919850785608</v>
      </c>
      <c r="M26" s="21">
        <f t="shared" si="8"/>
        <v>172.21756756562311</v>
      </c>
      <c r="N26" s="21">
        <f t="shared" si="8"/>
        <v>174.78360932235088</v>
      </c>
      <c r="O26" s="21">
        <f t="shared" si="8"/>
        <v>177.38788510125391</v>
      </c>
      <c r="P26" s="21">
        <f t="shared" si="8"/>
        <v>180.0309645892626</v>
      </c>
      <c r="Q26" s="21">
        <f t="shared" si="8"/>
        <v>182.71342596164266</v>
      </c>
      <c r="R26" s="21">
        <f t="shared" si="8"/>
        <v>185.43585600847109</v>
      </c>
      <c r="S26" s="21">
        <f t="shared" si="8"/>
        <v>188.19885026299733</v>
      </c>
      <c r="T26" s="21">
        <f t="shared" si="8"/>
        <v>191.00301313191599</v>
      </c>
      <c r="U26" s="21">
        <f t="shared" si="8"/>
        <v>193.84895802758155</v>
      </c>
      <c r="V26" s="21">
        <f t="shared" si="8"/>
        <v>196.73730750219249</v>
      </c>
      <c r="W26" s="21">
        <f t="shared" si="8"/>
        <v>199.66869338397518</v>
      </c>
      <c r="X26" s="21">
        <f t="shared" si="8"/>
        <v>202.64375691539641</v>
      </c>
      <c r="Y26" s="21">
        <f t="shared" si="8"/>
        <v>205.66314889343579</v>
      </c>
      <c r="Z26" s="21">
        <f t="shared" si="8"/>
        <v>208.72752981194799</v>
      </c>
      <c r="AA26" s="21">
        <f t="shared" si="8"/>
        <v>211.83757000614602</v>
      </c>
      <c r="AB26" s="21">
        <f t="shared" si="8"/>
        <v>214.99394979923753</v>
      </c>
      <c r="AC26" s="21">
        <f t="shared" si="8"/>
        <v>218.19735965124619</v>
      </c>
      <c r="AD26" s="21">
        <f t="shared" si="8"/>
        <v>0</v>
      </c>
      <c r="AE26" s="21">
        <f t="shared" si="8"/>
        <v>0</v>
      </c>
      <c r="AF26" s="21">
        <f t="shared" si="8"/>
        <v>0</v>
      </c>
      <c r="AG26" s="21">
        <f t="shared" si="8"/>
        <v>0</v>
      </c>
      <c r="AH26" s="21">
        <f t="shared" si="8"/>
        <v>0</v>
      </c>
    </row>
    <row r="27" spans="1:34" s="2" customFormat="1" ht="13.15" x14ac:dyDescent="0.4">
      <c r="A27" s="20" t="s">
        <v>39</v>
      </c>
      <c r="B27" s="21">
        <f>SUMIF($E$3:$AH$3,"&lt;"&amp;$B$6+1,E27:AH27)</f>
        <v>2523.7549934958533</v>
      </c>
      <c r="C27" s="3"/>
      <c r="D27" s="18" t="s">
        <v>46</v>
      </c>
      <c r="E27" s="21">
        <f t="shared" ref="E27:AH27" si="9">E60</f>
        <v>0</v>
      </c>
      <c r="F27" s="21">
        <f t="shared" si="9"/>
        <v>0</v>
      </c>
      <c r="G27" s="21">
        <f t="shared" si="9"/>
        <v>0</v>
      </c>
      <c r="H27" s="21">
        <f t="shared" si="9"/>
        <v>0</v>
      </c>
      <c r="I27" s="21">
        <f t="shared" si="9"/>
        <v>0</v>
      </c>
      <c r="J27" s="21">
        <f t="shared" si="9"/>
        <v>0</v>
      </c>
      <c r="K27" s="21">
        <f t="shared" si="9"/>
        <v>12.5</v>
      </c>
      <c r="L27" s="21">
        <f t="shared" si="9"/>
        <v>25.125</v>
      </c>
      <c r="M27" s="21">
        <f t="shared" si="9"/>
        <v>37.876249999999999</v>
      </c>
      <c r="N27" s="21">
        <f t="shared" si="9"/>
        <v>50.755012500000007</v>
      </c>
      <c r="O27" s="21">
        <f t="shared" si="9"/>
        <v>63.762562625000001</v>
      </c>
      <c r="P27" s="21">
        <f t="shared" si="9"/>
        <v>76.90018825125</v>
      </c>
      <c r="Q27" s="21">
        <f t="shared" si="9"/>
        <v>90.169190133762498</v>
      </c>
      <c r="R27" s="21">
        <f t="shared" si="9"/>
        <v>103.57088203510011</v>
      </c>
      <c r="S27" s="21">
        <f t="shared" si="9"/>
        <v>117.1065908554511</v>
      </c>
      <c r="T27" s="21">
        <f t="shared" si="9"/>
        <v>130.77765676400563</v>
      </c>
      <c r="U27" s="21">
        <f t="shared" si="9"/>
        <v>144.58543333164567</v>
      </c>
      <c r="V27" s="21">
        <f t="shared" si="9"/>
        <v>158.53128766496212</v>
      </c>
      <c r="W27" s="21">
        <f t="shared" si="9"/>
        <v>172.61660054161177</v>
      </c>
      <c r="X27" s="21">
        <f t="shared" si="9"/>
        <v>186.84276654702791</v>
      </c>
      <c r="Y27" s="21">
        <f t="shared" si="9"/>
        <v>201.21119421249816</v>
      </c>
      <c r="Z27" s="21">
        <f t="shared" si="9"/>
        <v>215.72330615462315</v>
      </c>
      <c r="AA27" s="21">
        <f t="shared" si="9"/>
        <v>230.38053921616938</v>
      </c>
      <c r="AB27" s="21">
        <f t="shared" si="9"/>
        <v>245.18434460833109</v>
      </c>
      <c r="AC27" s="21">
        <f t="shared" si="9"/>
        <v>260.13618805441439</v>
      </c>
      <c r="AD27" s="21">
        <f t="shared" si="9"/>
        <v>0</v>
      </c>
      <c r="AE27" s="21">
        <f t="shared" si="9"/>
        <v>0</v>
      </c>
      <c r="AF27" s="21">
        <f t="shared" si="9"/>
        <v>0</v>
      </c>
      <c r="AG27" s="21">
        <f t="shared" si="9"/>
        <v>0</v>
      </c>
      <c r="AH27" s="21">
        <f t="shared" si="9"/>
        <v>0</v>
      </c>
    </row>
    <row r="28" spans="1:34" s="2" customFormat="1" ht="13.15" x14ac:dyDescent="0.4">
      <c r="A28" s="20" t="s">
        <v>15</v>
      </c>
      <c r="B28" s="21">
        <f>SUMIF($E$3:$AH$3,"&lt;"&amp;$B$6+1,E28:AH28)</f>
        <v>746.60985794964472</v>
      </c>
      <c r="C28" s="3"/>
      <c r="D28" s="18" t="s">
        <v>47</v>
      </c>
      <c r="E28" s="21">
        <f t="shared" ref="E28:AH28" si="10">E66</f>
        <v>0</v>
      </c>
      <c r="F28" s="21">
        <f t="shared" si="10"/>
        <v>5</v>
      </c>
      <c r="G28" s="21">
        <f t="shared" si="10"/>
        <v>10.15</v>
      </c>
      <c r="H28" s="21">
        <f t="shared" si="10"/>
        <v>15.453500000000002</v>
      </c>
      <c r="I28" s="21">
        <f t="shared" si="10"/>
        <v>20.914075000000004</v>
      </c>
      <c r="J28" s="21">
        <f t="shared" si="10"/>
        <v>26.535376550000006</v>
      </c>
      <c r="K28" s="21">
        <f t="shared" si="10"/>
        <v>32.321134331500005</v>
      </c>
      <c r="L28" s="21">
        <f t="shared" si="10"/>
        <v>38.275157771135007</v>
      </c>
      <c r="M28" s="21">
        <f t="shared" si="10"/>
        <v>44.401337687092756</v>
      </c>
      <c r="N28" s="21">
        <f t="shared" si="10"/>
        <v>50.703647968975012</v>
      </c>
      <c r="O28" s="21">
        <f t="shared" si="10"/>
        <v>57.186147291776315</v>
      </c>
      <c r="P28" s="21">
        <f t="shared" si="10"/>
        <v>8.8529808646678614</v>
      </c>
      <c r="Q28" s="21">
        <f t="shared" si="10"/>
        <v>15.158382215287805</v>
      </c>
      <c r="R28" s="21">
        <f t="shared" si="10"/>
        <v>21.651175010253411</v>
      </c>
      <c r="S28" s="21">
        <f t="shared" si="10"/>
        <v>28.335719912624928</v>
      </c>
      <c r="T28" s="21">
        <f t="shared" si="10"/>
        <v>35.216470927065537</v>
      </c>
      <c r="U28" s="21">
        <f t="shared" si="10"/>
        <v>42.297977327956843</v>
      </c>
      <c r="V28" s="21">
        <f t="shared" si="10"/>
        <v>49.584885626689477</v>
      </c>
      <c r="W28" s="21">
        <f t="shared" si="10"/>
        <v>57.081941578918496</v>
      </c>
      <c r="X28" s="21">
        <f t="shared" si="10"/>
        <v>64.793992232589048</v>
      </c>
      <c r="Y28" s="21">
        <f t="shared" si="10"/>
        <v>72.725988017553931</v>
      </c>
      <c r="Z28" s="21">
        <f t="shared" si="10"/>
        <v>0.88298487762124755</v>
      </c>
      <c r="AA28" s="21">
        <f t="shared" si="10"/>
        <v>8.470146445887071</v>
      </c>
      <c r="AB28" s="21">
        <f t="shared" si="10"/>
        <v>16.284746264225348</v>
      </c>
      <c r="AC28" s="21">
        <f t="shared" si="10"/>
        <v>24.33209004782459</v>
      </c>
      <c r="AD28" s="21">
        <f t="shared" si="10"/>
        <v>0</v>
      </c>
      <c r="AE28" s="21">
        <f t="shared" si="10"/>
        <v>0</v>
      </c>
      <c r="AF28" s="21">
        <f t="shared" si="10"/>
        <v>0</v>
      </c>
      <c r="AG28" s="21">
        <f t="shared" si="10"/>
        <v>0</v>
      </c>
      <c r="AH28" s="21">
        <f t="shared" si="10"/>
        <v>0</v>
      </c>
    </row>
    <row r="29" spans="1:34" s="2" customFormat="1" ht="13.15" x14ac:dyDescent="0.4">
      <c r="A29" s="22" t="str">
        <f>"Total "&amp;B6&amp;"yr income"</f>
        <v>Total 25yr income</v>
      </c>
      <c r="B29" s="23">
        <f>SUM(B24:B28)</f>
        <v>90553.687394462104</v>
      </c>
      <c r="C29" s="3"/>
      <c r="D29" s="2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s="2" customFormat="1" ht="13.5" thickBot="1" x14ac:dyDescent="0.45">
      <c r="A30" s="25" t="s">
        <v>16</v>
      </c>
      <c r="B30" s="26">
        <f>B29/B6</f>
        <v>3622.147495778484</v>
      </c>
      <c r="C30" s="3"/>
      <c r="D30" s="27" t="s">
        <v>17</v>
      </c>
      <c r="E30" s="28">
        <f t="shared" ref="E30:AH30" si="11">SUM(E24:E27)</f>
        <v>2907</v>
      </c>
      <c r="F30" s="28">
        <f t="shared" si="11"/>
        <v>2950.3143</v>
      </c>
      <c r="G30" s="28">
        <f t="shared" si="11"/>
        <v>2994.2739830699998</v>
      </c>
      <c r="H30" s="28">
        <f t="shared" si="11"/>
        <v>3038.8886654177431</v>
      </c>
      <c r="I30" s="28">
        <f t="shared" si="11"/>
        <v>3084.1681065324683</v>
      </c>
      <c r="J30" s="28">
        <f t="shared" si="11"/>
        <v>3130.1222113198019</v>
      </c>
      <c r="K30" s="28">
        <f t="shared" si="11"/>
        <v>3189.2610322684664</v>
      </c>
      <c r="L30" s="28">
        <f t="shared" si="11"/>
        <v>3249.219771649266</v>
      </c>
      <c r="M30" s="28">
        <f t="shared" si="11"/>
        <v>3310.0100337468402</v>
      </c>
      <c r="N30" s="28">
        <f t="shared" si="11"/>
        <v>3371.6435896246676</v>
      </c>
      <c r="O30" s="28">
        <f t="shared" si="11"/>
        <v>3434.1323795488252</v>
      </c>
      <c r="P30" s="28">
        <f t="shared" si="11"/>
        <v>3497.4885154472399</v>
      </c>
      <c r="Q30" s="28">
        <f t="shared" si="11"/>
        <v>3561.7242834049739</v>
      </c>
      <c r="R30" s="28">
        <f t="shared" si="11"/>
        <v>3626.8521461960518</v>
      </c>
      <c r="S30" s="28">
        <f t="shared" si="11"/>
        <v>3692.8847458524015</v>
      </c>
      <c r="T30" s="28">
        <f t="shared" si="11"/>
        <v>3759.8349062704106</v>
      </c>
      <c r="U30" s="28">
        <f t="shared" si="11"/>
        <v>3827.7156358556958</v>
      </c>
      <c r="V30" s="28">
        <f t="shared" si="11"/>
        <v>3896.5401302066207</v>
      </c>
      <c r="W30" s="28">
        <f t="shared" si="11"/>
        <v>3966.3217748371408</v>
      </c>
      <c r="X30" s="28">
        <f t="shared" si="11"/>
        <v>4037.0741479395606</v>
      </c>
      <c r="Y30" s="28">
        <f t="shared" si="11"/>
        <v>4108.8110231877799</v>
      </c>
      <c r="Z30" s="28">
        <f t="shared" si="11"/>
        <v>4181.5463725816362</v>
      </c>
      <c r="AA30" s="28">
        <f t="shared" si="11"/>
        <v>4255.2943693329453</v>
      </c>
      <c r="AB30" s="28">
        <f t="shared" si="11"/>
        <v>4330.0693907938457</v>
      </c>
      <c r="AC30" s="28">
        <f t="shared" si="11"/>
        <v>4405.886021428093</v>
      </c>
      <c r="AD30" s="28">
        <f t="shared" si="11"/>
        <v>0</v>
      </c>
      <c r="AE30" s="28">
        <f t="shared" si="11"/>
        <v>0</v>
      </c>
      <c r="AF30" s="28">
        <f t="shared" si="11"/>
        <v>0</v>
      </c>
      <c r="AG30" s="28">
        <f t="shared" si="11"/>
        <v>0</v>
      </c>
      <c r="AH30" s="28">
        <f t="shared" si="11"/>
        <v>0</v>
      </c>
    </row>
    <row r="31" spans="1:34" s="2" customFormat="1" ht="13.5" thickTop="1" x14ac:dyDescent="0.4">
      <c r="A31" s="87"/>
      <c r="B31" s="88"/>
      <c r="C31" s="3"/>
      <c r="D31" s="86"/>
      <c r="E31" s="89">
        <f>E30/$B$20</f>
        <v>0.11627999999999999</v>
      </c>
      <c r="F31" s="89">
        <f t="shared" ref="F31:AH31" si="12">F30/$B$20</f>
        <v>0.118012572</v>
      </c>
      <c r="G31" s="89">
        <f t="shared" si="12"/>
        <v>0.11977095932279999</v>
      </c>
      <c r="H31" s="89">
        <f t="shared" si="12"/>
        <v>0.12155554661670973</v>
      </c>
      <c r="I31" s="89">
        <f t="shared" si="12"/>
        <v>0.12336672426129873</v>
      </c>
      <c r="J31" s="89">
        <f t="shared" si="12"/>
        <v>0.12520488845279207</v>
      </c>
      <c r="K31" s="89">
        <f t="shared" si="12"/>
        <v>0.12757044129073866</v>
      </c>
      <c r="L31" s="89">
        <f t="shared" si="12"/>
        <v>0.12996879086597063</v>
      </c>
      <c r="M31" s="89">
        <f t="shared" si="12"/>
        <v>0.1324004013498736</v>
      </c>
      <c r="N31" s="89">
        <f t="shared" si="12"/>
        <v>0.13486574358498671</v>
      </c>
      <c r="O31" s="89">
        <f t="shared" si="12"/>
        <v>0.13736529518195301</v>
      </c>
      <c r="P31" s="89">
        <f t="shared" si="12"/>
        <v>0.13989954061788959</v>
      </c>
      <c r="Q31" s="89">
        <f t="shared" si="12"/>
        <v>0.14246897133619896</v>
      </c>
      <c r="R31" s="89">
        <f t="shared" si="12"/>
        <v>0.14507408584784207</v>
      </c>
      <c r="S31" s="89">
        <f t="shared" si="12"/>
        <v>0.14771538983409607</v>
      </c>
      <c r="T31" s="89">
        <f t="shared" si="12"/>
        <v>0.15039339625081644</v>
      </c>
      <c r="U31" s="89">
        <f t="shared" si="12"/>
        <v>0.15310862543422785</v>
      </c>
      <c r="V31" s="89">
        <f t="shared" si="12"/>
        <v>0.15586160520826484</v>
      </c>
      <c r="W31" s="89">
        <f t="shared" si="12"/>
        <v>0.15865287099348563</v>
      </c>
      <c r="X31" s="89">
        <f t="shared" si="12"/>
        <v>0.16148296591758243</v>
      </c>
      <c r="Y31" s="89">
        <f t="shared" si="12"/>
        <v>0.1643524409275112</v>
      </c>
      <c r="Z31" s="89">
        <f t="shared" si="12"/>
        <v>0.16726185490326545</v>
      </c>
      <c r="AA31" s="89">
        <f t="shared" si="12"/>
        <v>0.17021177477331781</v>
      </c>
      <c r="AB31" s="89">
        <f t="shared" si="12"/>
        <v>0.17320277563175382</v>
      </c>
      <c r="AC31" s="89">
        <f t="shared" si="12"/>
        <v>0.17623544085712373</v>
      </c>
      <c r="AD31" s="89">
        <f t="shared" si="12"/>
        <v>0</v>
      </c>
      <c r="AE31" s="89">
        <f t="shared" si="12"/>
        <v>0</v>
      </c>
      <c r="AF31" s="89">
        <f t="shared" si="12"/>
        <v>0</v>
      </c>
      <c r="AG31" s="89">
        <f t="shared" si="12"/>
        <v>0</v>
      </c>
      <c r="AH31" s="89">
        <f t="shared" si="12"/>
        <v>0</v>
      </c>
    </row>
    <row r="32" spans="1:34" s="68" customFormat="1" ht="13.15" x14ac:dyDescent="0.4">
      <c r="A32" s="87"/>
      <c r="B32" s="88"/>
      <c r="C32" s="108"/>
      <c r="D32" s="82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</row>
    <row r="33" spans="1:34" ht="14.65" thickBot="1" x14ac:dyDescent="0.5">
      <c r="D33" s="104" t="s">
        <v>75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</row>
    <row r="34" spans="1:34" ht="14.65" thickBot="1" x14ac:dyDescent="0.5">
      <c r="A34" s="104" t="s">
        <v>74</v>
      </c>
      <c r="B34" s="105">
        <v>5000</v>
      </c>
      <c r="C34" s="112">
        <f>B34/B18</f>
        <v>0.16666666666666666</v>
      </c>
      <c r="D34" s="104" t="s">
        <v>76</v>
      </c>
      <c r="E34" s="111">
        <f t="shared" ref="E34:AH34" si="13">IF(E3&gt;$B$36,0,-$B$34/$B$36)</f>
        <v>-1000</v>
      </c>
      <c r="F34" s="111">
        <f t="shared" si="13"/>
        <v>-1000</v>
      </c>
      <c r="G34" s="111">
        <f t="shared" si="13"/>
        <v>-1000</v>
      </c>
      <c r="H34" s="111">
        <f t="shared" si="13"/>
        <v>-1000</v>
      </c>
      <c r="I34" s="111">
        <f t="shared" si="13"/>
        <v>-1000</v>
      </c>
      <c r="J34" s="111">
        <f t="shared" si="13"/>
        <v>0</v>
      </c>
      <c r="K34" s="111">
        <f t="shared" si="13"/>
        <v>0</v>
      </c>
      <c r="L34" s="111">
        <f t="shared" si="13"/>
        <v>0</v>
      </c>
      <c r="M34" s="111">
        <f t="shared" si="13"/>
        <v>0</v>
      </c>
      <c r="N34" s="111">
        <f t="shared" si="13"/>
        <v>0</v>
      </c>
      <c r="O34" s="111">
        <f t="shared" si="13"/>
        <v>0</v>
      </c>
      <c r="P34" s="111">
        <f t="shared" si="13"/>
        <v>0</v>
      </c>
      <c r="Q34" s="111">
        <f t="shared" si="13"/>
        <v>0</v>
      </c>
      <c r="R34" s="111">
        <f t="shared" si="13"/>
        <v>0</v>
      </c>
      <c r="S34" s="111">
        <f t="shared" si="13"/>
        <v>0</v>
      </c>
      <c r="T34" s="111">
        <f t="shared" si="13"/>
        <v>0</v>
      </c>
      <c r="U34" s="111">
        <f t="shared" si="13"/>
        <v>0</v>
      </c>
      <c r="V34" s="111">
        <f t="shared" si="13"/>
        <v>0</v>
      </c>
      <c r="W34" s="111">
        <f t="shared" si="13"/>
        <v>0</v>
      </c>
      <c r="X34" s="111">
        <f t="shared" si="13"/>
        <v>0</v>
      </c>
      <c r="Y34" s="111">
        <f t="shared" si="13"/>
        <v>0</v>
      </c>
      <c r="Z34" s="111">
        <f t="shared" si="13"/>
        <v>0</v>
      </c>
      <c r="AA34" s="111">
        <f t="shared" si="13"/>
        <v>0</v>
      </c>
      <c r="AB34" s="111">
        <f t="shared" si="13"/>
        <v>0</v>
      </c>
      <c r="AC34" s="111">
        <f t="shared" si="13"/>
        <v>0</v>
      </c>
      <c r="AD34" s="111">
        <f t="shared" si="13"/>
        <v>0</v>
      </c>
      <c r="AE34" s="111">
        <f t="shared" si="13"/>
        <v>0</v>
      </c>
      <c r="AF34" s="111">
        <f t="shared" si="13"/>
        <v>0</v>
      </c>
      <c r="AG34" s="111">
        <f t="shared" si="13"/>
        <v>0</v>
      </c>
      <c r="AH34" s="111">
        <f t="shared" si="13"/>
        <v>0</v>
      </c>
    </row>
    <row r="35" spans="1:34" ht="14.65" thickBot="1" x14ac:dyDescent="0.5">
      <c r="A35" s="104" t="s">
        <v>73</v>
      </c>
      <c r="B35" s="106">
        <v>0.04</v>
      </c>
      <c r="D35" s="104" t="s">
        <v>77</v>
      </c>
      <c r="E35" s="111">
        <f>B34+E34</f>
        <v>4000</v>
      </c>
      <c r="F35" s="111">
        <f>E35+F34</f>
        <v>3000</v>
      </c>
      <c r="G35" s="111">
        <f t="shared" ref="G35:AH35" si="14">F35+G34</f>
        <v>2000</v>
      </c>
      <c r="H35" s="111">
        <f t="shared" si="14"/>
        <v>1000</v>
      </c>
      <c r="I35" s="111">
        <f t="shared" si="14"/>
        <v>0</v>
      </c>
      <c r="J35" s="111">
        <f t="shared" si="14"/>
        <v>0</v>
      </c>
      <c r="K35" s="111">
        <f t="shared" si="14"/>
        <v>0</v>
      </c>
      <c r="L35" s="111">
        <f t="shared" si="14"/>
        <v>0</v>
      </c>
      <c r="M35" s="111">
        <f t="shared" si="14"/>
        <v>0</v>
      </c>
      <c r="N35" s="111">
        <f t="shared" si="14"/>
        <v>0</v>
      </c>
      <c r="O35" s="111">
        <f t="shared" si="14"/>
        <v>0</v>
      </c>
      <c r="P35" s="111">
        <f t="shared" si="14"/>
        <v>0</v>
      </c>
      <c r="Q35" s="111">
        <f t="shared" si="14"/>
        <v>0</v>
      </c>
      <c r="R35" s="111">
        <f t="shared" si="14"/>
        <v>0</v>
      </c>
      <c r="S35" s="111">
        <f t="shared" si="14"/>
        <v>0</v>
      </c>
      <c r="T35" s="111">
        <f t="shared" si="14"/>
        <v>0</v>
      </c>
      <c r="U35" s="111">
        <f t="shared" si="14"/>
        <v>0</v>
      </c>
      <c r="V35" s="111">
        <f t="shared" si="14"/>
        <v>0</v>
      </c>
      <c r="W35" s="111">
        <f t="shared" si="14"/>
        <v>0</v>
      </c>
      <c r="X35" s="111">
        <f t="shared" si="14"/>
        <v>0</v>
      </c>
      <c r="Y35" s="111">
        <f t="shared" si="14"/>
        <v>0</v>
      </c>
      <c r="Z35" s="111">
        <f t="shared" si="14"/>
        <v>0</v>
      </c>
      <c r="AA35" s="111">
        <f t="shared" si="14"/>
        <v>0</v>
      </c>
      <c r="AB35" s="111">
        <f t="shared" si="14"/>
        <v>0</v>
      </c>
      <c r="AC35" s="111">
        <f t="shared" si="14"/>
        <v>0</v>
      </c>
      <c r="AD35" s="111">
        <f t="shared" si="14"/>
        <v>0</v>
      </c>
      <c r="AE35" s="111">
        <f t="shared" si="14"/>
        <v>0</v>
      </c>
      <c r="AF35" s="111">
        <f t="shared" si="14"/>
        <v>0</v>
      </c>
      <c r="AG35" s="111">
        <f t="shared" si="14"/>
        <v>0</v>
      </c>
      <c r="AH35" s="111">
        <f t="shared" si="14"/>
        <v>0</v>
      </c>
    </row>
    <row r="36" spans="1:34" ht="14.65" thickBot="1" x14ac:dyDescent="0.5">
      <c r="A36" s="104" t="s">
        <v>72</v>
      </c>
      <c r="B36" s="107">
        <v>5</v>
      </c>
      <c r="D36" s="104" t="s">
        <v>78</v>
      </c>
      <c r="E36" s="111">
        <f>IF(E3&gt;$B$36,0,-B34*B35)</f>
        <v>-200</v>
      </c>
      <c r="F36" s="111">
        <f>IF(F3&gt;$B$36,0,-E35*$B$35)</f>
        <v>-160</v>
      </c>
      <c r="G36" s="111">
        <f t="shared" ref="G36:AH36" si="15">IF(G3&gt;$B$36,0,-F35*$B$35)</f>
        <v>-120</v>
      </c>
      <c r="H36" s="111">
        <f t="shared" si="15"/>
        <v>-80</v>
      </c>
      <c r="I36" s="111">
        <f t="shared" si="15"/>
        <v>-40</v>
      </c>
      <c r="J36" s="111">
        <f t="shared" si="15"/>
        <v>0</v>
      </c>
      <c r="K36" s="111">
        <f t="shared" si="15"/>
        <v>0</v>
      </c>
      <c r="L36" s="111">
        <f t="shared" si="15"/>
        <v>0</v>
      </c>
      <c r="M36" s="111">
        <f t="shared" si="15"/>
        <v>0</v>
      </c>
      <c r="N36" s="111">
        <f t="shared" si="15"/>
        <v>0</v>
      </c>
      <c r="O36" s="111">
        <f t="shared" si="15"/>
        <v>0</v>
      </c>
      <c r="P36" s="111">
        <f t="shared" si="15"/>
        <v>0</v>
      </c>
      <c r="Q36" s="111">
        <f t="shared" si="15"/>
        <v>0</v>
      </c>
      <c r="R36" s="111">
        <f t="shared" si="15"/>
        <v>0</v>
      </c>
      <c r="S36" s="111">
        <f t="shared" si="15"/>
        <v>0</v>
      </c>
      <c r="T36" s="111">
        <f t="shared" si="15"/>
        <v>0</v>
      </c>
      <c r="U36" s="111">
        <f t="shared" si="15"/>
        <v>0</v>
      </c>
      <c r="V36" s="111">
        <f t="shared" si="15"/>
        <v>0</v>
      </c>
      <c r="W36" s="111">
        <f t="shared" si="15"/>
        <v>0</v>
      </c>
      <c r="X36" s="111">
        <f t="shared" si="15"/>
        <v>0</v>
      </c>
      <c r="Y36" s="111">
        <f t="shared" si="15"/>
        <v>0</v>
      </c>
      <c r="Z36" s="111">
        <f t="shared" si="15"/>
        <v>0</v>
      </c>
      <c r="AA36" s="111">
        <f t="shared" si="15"/>
        <v>0</v>
      </c>
      <c r="AB36" s="111">
        <f t="shared" si="15"/>
        <v>0</v>
      </c>
      <c r="AC36" s="111">
        <f t="shared" si="15"/>
        <v>0</v>
      </c>
      <c r="AD36" s="111">
        <f t="shared" si="15"/>
        <v>0</v>
      </c>
      <c r="AE36" s="111">
        <f t="shared" si="15"/>
        <v>0</v>
      </c>
      <c r="AF36" s="111">
        <f t="shared" si="15"/>
        <v>0</v>
      </c>
      <c r="AG36" s="111">
        <f t="shared" si="15"/>
        <v>0</v>
      </c>
      <c r="AH36" s="111">
        <f t="shared" si="15"/>
        <v>0</v>
      </c>
    </row>
    <row r="37" spans="1:34" s="2" customFormat="1" ht="13.15" x14ac:dyDescent="0.4">
      <c r="B37" s="3"/>
      <c r="C37" s="3"/>
      <c r="D37" s="2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1:34" s="2" customFormat="1" ht="13.5" thickBot="1" x14ac:dyDescent="0.45">
      <c r="A38" s="31" t="str">
        <f>"Total Costs "&amp;B6&amp;" year view"</f>
        <v>Total Costs 25 year view</v>
      </c>
      <c r="B38" s="32"/>
      <c r="C38" s="3"/>
      <c r="D38" s="31" t="str">
        <f>"Running Costs ("&amp;TEXT(B10,"0%")&amp;") inflation"</f>
        <v>Running Costs (2%) inflation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s="2" customFormat="1" ht="13.5" thickBot="1" x14ac:dyDescent="0.45">
      <c r="A39" s="32" t="s">
        <v>18</v>
      </c>
      <c r="B39" s="34">
        <f t="shared" ref="B39:B46" si="16">SUMIF($E$3:$AH$3,"&lt;"&amp;$B$6+1,E39:AH39)</f>
        <v>-16015.149861618253</v>
      </c>
      <c r="C39" s="3"/>
      <c r="D39" s="35" t="s">
        <v>18</v>
      </c>
      <c r="E39" s="85">
        <f>-500</f>
        <v>-500</v>
      </c>
      <c r="F39" s="34">
        <f>IF(F3&gt;$B$6,0,E39*(1+$B$10))</f>
        <v>-510</v>
      </c>
      <c r="G39" s="34">
        <f t="shared" ref="G39:AH39" si="17">IF(G3&gt;$B$6,0,F39*(1+$B$10))</f>
        <v>-520.20000000000005</v>
      </c>
      <c r="H39" s="34">
        <f t="shared" si="17"/>
        <v>-530.60400000000004</v>
      </c>
      <c r="I39" s="34">
        <f t="shared" si="17"/>
        <v>-541.21608000000003</v>
      </c>
      <c r="J39" s="34">
        <f t="shared" si="17"/>
        <v>-552.0404016</v>
      </c>
      <c r="K39" s="34">
        <f t="shared" si="17"/>
        <v>-563.08120963199997</v>
      </c>
      <c r="L39" s="34">
        <f t="shared" si="17"/>
        <v>-574.34283382464002</v>
      </c>
      <c r="M39" s="34">
        <f t="shared" si="17"/>
        <v>-585.82969050113286</v>
      </c>
      <c r="N39" s="34">
        <f t="shared" si="17"/>
        <v>-597.54628431115555</v>
      </c>
      <c r="O39" s="34">
        <f t="shared" si="17"/>
        <v>-609.49720999737872</v>
      </c>
      <c r="P39" s="34">
        <f t="shared" si="17"/>
        <v>-621.68715419732632</v>
      </c>
      <c r="Q39" s="34">
        <f t="shared" si="17"/>
        <v>-634.12089728127285</v>
      </c>
      <c r="R39" s="34">
        <f t="shared" si="17"/>
        <v>-646.80331522689835</v>
      </c>
      <c r="S39" s="34">
        <f t="shared" si="17"/>
        <v>-659.73938153143638</v>
      </c>
      <c r="T39" s="34">
        <f t="shared" si="17"/>
        <v>-672.93416916206513</v>
      </c>
      <c r="U39" s="34">
        <f t="shared" si="17"/>
        <v>-686.39285254530648</v>
      </c>
      <c r="V39" s="34">
        <f t="shared" si="17"/>
        <v>-700.12070959621258</v>
      </c>
      <c r="W39" s="34">
        <f t="shared" si="17"/>
        <v>-714.12312378813681</v>
      </c>
      <c r="X39" s="34">
        <f t="shared" si="17"/>
        <v>-728.40558626389952</v>
      </c>
      <c r="Y39" s="34">
        <f t="shared" si="17"/>
        <v>-742.97369798917748</v>
      </c>
      <c r="Z39" s="34">
        <f t="shared" si="17"/>
        <v>-757.83317194896108</v>
      </c>
      <c r="AA39" s="34">
        <f t="shared" si="17"/>
        <v>-772.98983538794027</v>
      </c>
      <c r="AB39" s="34">
        <f t="shared" si="17"/>
        <v>-788.44963209569914</v>
      </c>
      <c r="AC39" s="34">
        <f t="shared" si="17"/>
        <v>-804.21862473761314</v>
      </c>
      <c r="AD39" s="34">
        <f t="shared" si="17"/>
        <v>0</v>
      </c>
      <c r="AE39" s="34">
        <f t="shared" si="17"/>
        <v>0</v>
      </c>
      <c r="AF39" s="34">
        <f t="shared" si="17"/>
        <v>0</v>
      </c>
      <c r="AG39" s="34">
        <f t="shared" si="17"/>
        <v>0</v>
      </c>
      <c r="AH39" s="34">
        <f t="shared" si="17"/>
        <v>0</v>
      </c>
    </row>
    <row r="40" spans="1:34" s="2" customFormat="1" ht="13.15" x14ac:dyDescent="0.4">
      <c r="A40" s="32" t="s">
        <v>48</v>
      </c>
      <c r="B40" s="34">
        <f t="shared" si="16"/>
        <v>0</v>
      </c>
      <c r="C40" s="3"/>
      <c r="D40" s="35" t="s">
        <v>19</v>
      </c>
      <c r="E40" s="34">
        <f>0</f>
        <v>0</v>
      </c>
      <c r="F40" s="34">
        <f t="shared" ref="F40:AH40" si="18">E40*1.03</f>
        <v>0</v>
      </c>
      <c r="G40" s="34">
        <f t="shared" si="18"/>
        <v>0</v>
      </c>
      <c r="H40" s="34">
        <f t="shared" si="18"/>
        <v>0</v>
      </c>
      <c r="I40" s="34">
        <f t="shared" si="18"/>
        <v>0</v>
      </c>
      <c r="J40" s="34">
        <f t="shared" si="18"/>
        <v>0</v>
      </c>
      <c r="K40" s="34">
        <f t="shared" si="18"/>
        <v>0</v>
      </c>
      <c r="L40" s="34">
        <f t="shared" si="18"/>
        <v>0</v>
      </c>
      <c r="M40" s="34">
        <f t="shared" si="18"/>
        <v>0</v>
      </c>
      <c r="N40" s="34">
        <f t="shared" si="18"/>
        <v>0</v>
      </c>
      <c r="O40" s="34">
        <f t="shared" si="18"/>
        <v>0</v>
      </c>
      <c r="P40" s="34">
        <f t="shared" si="18"/>
        <v>0</v>
      </c>
      <c r="Q40" s="34">
        <f t="shared" si="18"/>
        <v>0</v>
      </c>
      <c r="R40" s="34">
        <f t="shared" si="18"/>
        <v>0</v>
      </c>
      <c r="S40" s="34">
        <f t="shared" si="18"/>
        <v>0</v>
      </c>
      <c r="T40" s="34">
        <f t="shared" si="18"/>
        <v>0</v>
      </c>
      <c r="U40" s="34">
        <f t="shared" si="18"/>
        <v>0</v>
      </c>
      <c r="V40" s="34">
        <f t="shared" si="18"/>
        <v>0</v>
      </c>
      <c r="W40" s="34">
        <f t="shared" si="18"/>
        <v>0</v>
      </c>
      <c r="X40" s="34">
        <f t="shared" si="18"/>
        <v>0</v>
      </c>
      <c r="Y40" s="34">
        <f t="shared" si="18"/>
        <v>0</v>
      </c>
      <c r="Z40" s="34">
        <f t="shared" si="18"/>
        <v>0</v>
      </c>
      <c r="AA40" s="34">
        <f t="shared" si="18"/>
        <v>0</v>
      </c>
      <c r="AB40" s="34">
        <f t="shared" si="18"/>
        <v>0</v>
      </c>
      <c r="AC40" s="34">
        <f t="shared" si="18"/>
        <v>0</v>
      </c>
      <c r="AD40" s="34">
        <f t="shared" si="18"/>
        <v>0</v>
      </c>
      <c r="AE40" s="34">
        <f t="shared" si="18"/>
        <v>0</v>
      </c>
      <c r="AF40" s="34">
        <f t="shared" si="18"/>
        <v>0</v>
      </c>
      <c r="AG40" s="34">
        <f t="shared" si="18"/>
        <v>0</v>
      </c>
      <c r="AH40" s="34">
        <f t="shared" si="18"/>
        <v>0</v>
      </c>
    </row>
    <row r="41" spans="1:34" s="2" customFormat="1" ht="13.5" thickBot="1" x14ac:dyDescent="0.45">
      <c r="A41" s="32" t="s">
        <v>20</v>
      </c>
      <c r="B41" s="34">
        <f t="shared" si="16"/>
        <v>-25000</v>
      </c>
      <c r="C41" s="3"/>
      <c r="D41" s="35" t="s">
        <v>21</v>
      </c>
      <c r="E41" s="34">
        <f t="shared" ref="E41:AH41" si="19">IF(E3&gt;$B$6,0,IF(E3&lt;=$B$36,0,-$B$20/($B$6-$B$36)))</f>
        <v>0</v>
      </c>
      <c r="F41" s="34">
        <f t="shared" si="19"/>
        <v>0</v>
      </c>
      <c r="G41" s="34">
        <f t="shared" si="19"/>
        <v>0</v>
      </c>
      <c r="H41" s="34">
        <f t="shared" si="19"/>
        <v>0</v>
      </c>
      <c r="I41" s="34">
        <f t="shared" si="19"/>
        <v>0</v>
      </c>
      <c r="J41" s="34">
        <f>IF(J3&gt;$B$6,0,IF(J3&lt;=$B$36,0,-$B$20/($B$6-$B$36)))</f>
        <v>-1250</v>
      </c>
      <c r="K41" s="34">
        <f t="shared" si="19"/>
        <v>-1250</v>
      </c>
      <c r="L41" s="34">
        <f t="shared" si="19"/>
        <v>-1250</v>
      </c>
      <c r="M41" s="34">
        <f t="shared" si="19"/>
        <v>-1250</v>
      </c>
      <c r="N41" s="34">
        <f t="shared" si="19"/>
        <v>-1250</v>
      </c>
      <c r="O41" s="34">
        <f t="shared" si="19"/>
        <v>-1250</v>
      </c>
      <c r="P41" s="34">
        <f t="shared" si="19"/>
        <v>-1250</v>
      </c>
      <c r="Q41" s="34">
        <f t="shared" si="19"/>
        <v>-1250</v>
      </c>
      <c r="R41" s="34">
        <f t="shared" si="19"/>
        <v>-1250</v>
      </c>
      <c r="S41" s="34">
        <f t="shared" si="19"/>
        <v>-1250</v>
      </c>
      <c r="T41" s="34">
        <f t="shared" si="19"/>
        <v>-1250</v>
      </c>
      <c r="U41" s="34">
        <f t="shared" si="19"/>
        <v>-1250</v>
      </c>
      <c r="V41" s="34">
        <f t="shared" si="19"/>
        <v>-1250</v>
      </c>
      <c r="W41" s="34">
        <f t="shared" si="19"/>
        <v>-1250</v>
      </c>
      <c r="X41" s="34">
        <f t="shared" si="19"/>
        <v>-1250</v>
      </c>
      <c r="Y41" s="34">
        <f t="shared" si="19"/>
        <v>-1250</v>
      </c>
      <c r="Z41" s="34">
        <f t="shared" si="19"/>
        <v>-1250</v>
      </c>
      <c r="AA41" s="34">
        <f t="shared" si="19"/>
        <v>-1250</v>
      </c>
      <c r="AB41" s="34">
        <f t="shared" si="19"/>
        <v>-1250</v>
      </c>
      <c r="AC41" s="34">
        <f t="shared" si="19"/>
        <v>-1250</v>
      </c>
      <c r="AD41" s="34">
        <f t="shared" si="19"/>
        <v>0</v>
      </c>
      <c r="AE41" s="34">
        <f t="shared" si="19"/>
        <v>0</v>
      </c>
      <c r="AF41" s="34">
        <f t="shared" si="19"/>
        <v>0</v>
      </c>
      <c r="AG41" s="34">
        <f t="shared" si="19"/>
        <v>0</v>
      </c>
      <c r="AH41" s="34">
        <f t="shared" si="19"/>
        <v>0</v>
      </c>
    </row>
    <row r="42" spans="1:34" s="2" customFormat="1" ht="13.5" thickBot="1" x14ac:dyDescent="0.45">
      <c r="A42" s="32" t="s">
        <v>22</v>
      </c>
      <c r="B42" s="34">
        <f t="shared" si="16"/>
        <v>-8007.5749308091263</v>
      </c>
      <c r="C42" s="3"/>
      <c r="D42" s="35" t="s">
        <v>22</v>
      </c>
      <c r="E42" s="85">
        <f>-250</f>
        <v>-250</v>
      </c>
      <c r="F42" s="34">
        <f>IF(F3&gt;$B$6,0,E42*(1+$B$10))</f>
        <v>-255</v>
      </c>
      <c r="G42" s="34">
        <f t="shared" ref="G42:AH42" si="20">IF(G3&gt;$B$6,0,F42*(1+$B$10))</f>
        <v>-260.10000000000002</v>
      </c>
      <c r="H42" s="34">
        <f t="shared" si="20"/>
        <v>-265.30200000000002</v>
      </c>
      <c r="I42" s="34">
        <f t="shared" si="20"/>
        <v>-270.60804000000002</v>
      </c>
      <c r="J42" s="34">
        <f t="shared" si="20"/>
        <v>-276.0202008</v>
      </c>
      <c r="K42" s="34">
        <f t="shared" si="20"/>
        <v>-281.54060481599998</v>
      </c>
      <c r="L42" s="34">
        <f t="shared" si="20"/>
        <v>-287.17141691232001</v>
      </c>
      <c r="M42" s="34">
        <f t="shared" si="20"/>
        <v>-292.91484525056643</v>
      </c>
      <c r="N42" s="34">
        <f t="shared" si="20"/>
        <v>-298.77314215557777</v>
      </c>
      <c r="O42" s="34">
        <f t="shared" si="20"/>
        <v>-304.74860499868936</v>
      </c>
      <c r="P42" s="34">
        <f t="shared" si="20"/>
        <v>-310.84357709866316</v>
      </c>
      <c r="Q42" s="34">
        <f t="shared" si="20"/>
        <v>-317.06044864063642</v>
      </c>
      <c r="R42" s="34">
        <f t="shared" si="20"/>
        <v>-323.40165761344917</v>
      </c>
      <c r="S42" s="34">
        <f t="shared" si="20"/>
        <v>-329.86969076571819</v>
      </c>
      <c r="T42" s="34">
        <f t="shared" si="20"/>
        <v>-336.46708458103257</v>
      </c>
      <c r="U42" s="34">
        <f t="shared" si="20"/>
        <v>-343.19642627265324</v>
      </c>
      <c r="V42" s="34">
        <f t="shared" si="20"/>
        <v>-350.06035479810629</v>
      </c>
      <c r="W42" s="34">
        <f t="shared" si="20"/>
        <v>-357.0615618940684</v>
      </c>
      <c r="X42" s="34">
        <f t="shared" si="20"/>
        <v>-364.20279313194976</v>
      </c>
      <c r="Y42" s="34">
        <f t="shared" si="20"/>
        <v>-371.48684899458874</v>
      </c>
      <c r="Z42" s="34">
        <f t="shared" si="20"/>
        <v>-378.91658597448054</v>
      </c>
      <c r="AA42" s="34">
        <f t="shared" si="20"/>
        <v>-386.49491769397014</v>
      </c>
      <c r="AB42" s="34">
        <f t="shared" si="20"/>
        <v>-394.22481604784957</v>
      </c>
      <c r="AC42" s="34">
        <f t="shared" si="20"/>
        <v>-402.10931236880657</v>
      </c>
      <c r="AD42" s="34">
        <f t="shared" si="20"/>
        <v>0</v>
      </c>
      <c r="AE42" s="34">
        <f t="shared" si="20"/>
        <v>0</v>
      </c>
      <c r="AF42" s="34">
        <f t="shared" si="20"/>
        <v>0</v>
      </c>
      <c r="AG42" s="34">
        <f t="shared" si="20"/>
        <v>0</v>
      </c>
      <c r="AH42" s="34">
        <f t="shared" si="20"/>
        <v>0</v>
      </c>
    </row>
    <row r="43" spans="1:34" s="2" customFormat="1" ht="13.5" thickBot="1" x14ac:dyDescent="0.45">
      <c r="A43" s="32" t="s">
        <v>23</v>
      </c>
      <c r="B43" s="34">
        <f t="shared" si="16"/>
        <v>0</v>
      </c>
      <c r="C43" s="3"/>
      <c r="D43" s="35" t="s">
        <v>23</v>
      </c>
      <c r="E43" s="34">
        <v>0</v>
      </c>
      <c r="F43" s="34">
        <f>E43*(1+$B$10)</f>
        <v>0</v>
      </c>
      <c r="G43" s="34">
        <f t="shared" ref="G43:AH43" si="21">F43*(1+$B$10)</f>
        <v>0</v>
      </c>
      <c r="H43" s="34">
        <f t="shared" si="21"/>
        <v>0</v>
      </c>
      <c r="I43" s="34">
        <f t="shared" si="21"/>
        <v>0</v>
      </c>
      <c r="J43" s="34">
        <f t="shared" si="21"/>
        <v>0</v>
      </c>
      <c r="K43" s="34">
        <f t="shared" si="21"/>
        <v>0</v>
      </c>
      <c r="L43" s="34">
        <f t="shared" si="21"/>
        <v>0</v>
      </c>
      <c r="M43" s="34">
        <f t="shared" si="21"/>
        <v>0</v>
      </c>
      <c r="N43" s="34">
        <f t="shared" si="21"/>
        <v>0</v>
      </c>
      <c r="O43" s="34">
        <f t="shared" si="21"/>
        <v>0</v>
      </c>
      <c r="P43" s="34">
        <f t="shared" si="21"/>
        <v>0</v>
      </c>
      <c r="Q43" s="34">
        <f t="shared" si="21"/>
        <v>0</v>
      </c>
      <c r="R43" s="34">
        <f t="shared" si="21"/>
        <v>0</v>
      </c>
      <c r="S43" s="34">
        <f t="shared" si="21"/>
        <v>0</v>
      </c>
      <c r="T43" s="34">
        <f t="shared" si="21"/>
        <v>0</v>
      </c>
      <c r="U43" s="34">
        <f t="shared" si="21"/>
        <v>0</v>
      </c>
      <c r="V43" s="34">
        <f t="shared" si="21"/>
        <v>0</v>
      </c>
      <c r="W43" s="34">
        <f t="shared" si="21"/>
        <v>0</v>
      </c>
      <c r="X43" s="34">
        <f t="shared" si="21"/>
        <v>0</v>
      </c>
      <c r="Y43" s="34">
        <f t="shared" si="21"/>
        <v>0</v>
      </c>
      <c r="Z43" s="34">
        <f t="shared" si="21"/>
        <v>0</v>
      </c>
      <c r="AA43" s="34">
        <f t="shared" si="21"/>
        <v>0</v>
      </c>
      <c r="AB43" s="34">
        <f t="shared" si="21"/>
        <v>0</v>
      </c>
      <c r="AC43" s="34">
        <f t="shared" si="21"/>
        <v>0</v>
      </c>
      <c r="AD43" s="34">
        <f t="shared" si="21"/>
        <v>0</v>
      </c>
      <c r="AE43" s="34">
        <f t="shared" si="21"/>
        <v>0</v>
      </c>
      <c r="AF43" s="34">
        <f t="shared" si="21"/>
        <v>0</v>
      </c>
      <c r="AG43" s="34">
        <f t="shared" si="21"/>
        <v>0</v>
      </c>
      <c r="AH43" s="34">
        <f t="shared" si="21"/>
        <v>0</v>
      </c>
    </row>
    <row r="44" spans="1:34" s="2" customFormat="1" ht="13.5" thickBot="1" x14ac:dyDescent="0.45">
      <c r="A44" s="32" t="s">
        <v>24</v>
      </c>
      <c r="B44" s="34">
        <f t="shared" si="16"/>
        <v>-16015.149861618253</v>
      </c>
      <c r="C44" s="36"/>
      <c r="D44" s="35" t="s">
        <v>24</v>
      </c>
      <c r="E44" s="85">
        <f>-500</f>
        <v>-500</v>
      </c>
      <c r="F44" s="34">
        <f>IF(F3&gt;$B$6,0,E44*(1+$B$10))</f>
        <v>-510</v>
      </c>
      <c r="G44" s="34">
        <f t="shared" ref="G44:AH44" si="22">IF(G3&gt;$B$6,0,F44*(1+$B$10))</f>
        <v>-520.20000000000005</v>
      </c>
      <c r="H44" s="34">
        <f t="shared" si="22"/>
        <v>-530.60400000000004</v>
      </c>
      <c r="I44" s="34">
        <f t="shared" si="22"/>
        <v>-541.21608000000003</v>
      </c>
      <c r="J44" s="34">
        <f t="shared" si="22"/>
        <v>-552.0404016</v>
      </c>
      <c r="K44" s="34">
        <f t="shared" si="22"/>
        <v>-563.08120963199997</v>
      </c>
      <c r="L44" s="34">
        <f t="shared" si="22"/>
        <v>-574.34283382464002</v>
      </c>
      <c r="M44" s="34">
        <f t="shared" si="22"/>
        <v>-585.82969050113286</v>
      </c>
      <c r="N44" s="34">
        <f t="shared" si="22"/>
        <v>-597.54628431115555</v>
      </c>
      <c r="O44" s="34">
        <f t="shared" si="22"/>
        <v>-609.49720999737872</v>
      </c>
      <c r="P44" s="34">
        <f t="shared" si="22"/>
        <v>-621.68715419732632</v>
      </c>
      <c r="Q44" s="34">
        <f t="shared" si="22"/>
        <v>-634.12089728127285</v>
      </c>
      <c r="R44" s="34">
        <f t="shared" si="22"/>
        <v>-646.80331522689835</v>
      </c>
      <c r="S44" s="34">
        <f t="shared" si="22"/>
        <v>-659.73938153143638</v>
      </c>
      <c r="T44" s="34">
        <f t="shared" si="22"/>
        <v>-672.93416916206513</v>
      </c>
      <c r="U44" s="34">
        <f t="shared" si="22"/>
        <v>-686.39285254530648</v>
      </c>
      <c r="V44" s="34">
        <f t="shared" si="22"/>
        <v>-700.12070959621258</v>
      </c>
      <c r="W44" s="34">
        <f t="shared" si="22"/>
        <v>-714.12312378813681</v>
      </c>
      <c r="X44" s="34">
        <f t="shared" si="22"/>
        <v>-728.40558626389952</v>
      </c>
      <c r="Y44" s="34">
        <f t="shared" si="22"/>
        <v>-742.97369798917748</v>
      </c>
      <c r="Z44" s="34">
        <f t="shared" si="22"/>
        <v>-757.83317194896108</v>
      </c>
      <c r="AA44" s="34">
        <f t="shared" si="22"/>
        <v>-772.98983538794027</v>
      </c>
      <c r="AB44" s="34">
        <f t="shared" si="22"/>
        <v>-788.44963209569914</v>
      </c>
      <c r="AC44" s="34">
        <f t="shared" si="22"/>
        <v>-804.21862473761314</v>
      </c>
      <c r="AD44" s="34">
        <f t="shared" si="22"/>
        <v>0</v>
      </c>
      <c r="AE44" s="34">
        <f t="shared" si="22"/>
        <v>0</v>
      </c>
      <c r="AF44" s="34">
        <f t="shared" si="22"/>
        <v>0</v>
      </c>
      <c r="AG44" s="34">
        <f t="shared" si="22"/>
        <v>0</v>
      </c>
      <c r="AH44" s="34">
        <f t="shared" si="22"/>
        <v>0</v>
      </c>
    </row>
    <row r="45" spans="1:34" s="2" customFormat="1" ht="13.5" thickBot="1" x14ac:dyDescent="0.45">
      <c r="A45" s="32" t="s">
        <v>25</v>
      </c>
      <c r="B45" s="34">
        <f t="shared" si="16"/>
        <v>-1601.5149861618254</v>
      </c>
      <c r="C45" s="36"/>
      <c r="D45" s="35" t="s">
        <v>25</v>
      </c>
      <c r="E45" s="85">
        <f>-50</f>
        <v>-50</v>
      </c>
      <c r="F45" s="34">
        <f>IF(F3&gt;$B$6,0,E45*(1+$B$10))</f>
        <v>-51</v>
      </c>
      <c r="G45" s="34">
        <f t="shared" ref="G45:AH45" si="23">IF(G3&gt;$B$6,0,F45*(1+$B$10))</f>
        <v>-52.02</v>
      </c>
      <c r="H45" s="34">
        <f t="shared" si="23"/>
        <v>-53.060400000000001</v>
      </c>
      <c r="I45" s="34">
        <f t="shared" si="23"/>
        <v>-54.121608000000002</v>
      </c>
      <c r="J45" s="34">
        <f t="shared" si="23"/>
        <v>-55.204040160000005</v>
      </c>
      <c r="K45" s="34">
        <f t="shared" si="23"/>
        <v>-56.308120963200004</v>
      </c>
      <c r="L45" s="34">
        <f t="shared" si="23"/>
        <v>-57.434283382464002</v>
      </c>
      <c r="M45" s="34">
        <f t="shared" si="23"/>
        <v>-58.582969050113284</v>
      </c>
      <c r="N45" s="34">
        <f t="shared" si="23"/>
        <v>-59.754628431115549</v>
      </c>
      <c r="O45" s="34">
        <f t="shared" si="23"/>
        <v>-60.949720999737863</v>
      </c>
      <c r="P45" s="34">
        <f t="shared" si="23"/>
        <v>-62.168715419732621</v>
      </c>
      <c r="Q45" s="34">
        <f t="shared" si="23"/>
        <v>-63.412089728127278</v>
      </c>
      <c r="R45" s="34">
        <f t="shared" si="23"/>
        <v>-64.680331522689826</v>
      </c>
      <c r="S45" s="34">
        <f t="shared" si="23"/>
        <v>-65.973938153143621</v>
      </c>
      <c r="T45" s="34">
        <f t="shared" si="23"/>
        <v>-67.293416916206496</v>
      </c>
      <c r="U45" s="34">
        <f t="shared" si="23"/>
        <v>-68.639285254530634</v>
      </c>
      <c r="V45" s="34">
        <f t="shared" si="23"/>
        <v>-70.012070959621255</v>
      </c>
      <c r="W45" s="34">
        <f t="shared" si="23"/>
        <v>-71.412312378813681</v>
      </c>
      <c r="X45" s="34">
        <f t="shared" si="23"/>
        <v>-72.840558626389949</v>
      </c>
      <c r="Y45" s="34">
        <f t="shared" si="23"/>
        <v>-74.297369798917757</v>
      </c>
      <c r="Z45" s="34">
        <f t="shared" si="23"/>
        <v>-75.783317194896114</v>
      </c>
      <c r="AA45" s="34">
        <f t="shared" si="23"/>
        <v>-77.298983538794033</v>
      </c>
      <c r="AB45" s="34">
        <f t="shared" si="23"/>
        <v>-78.844963209569912</v>
      </c>
      <c r="AC45" s="34">
        <f t="shared" si="23"/>
        <v>-80.421862473761308</v>
      </c>
      <c r="AD45" s="34">
        <f t="shared" si="23"/>
        <v>0</v>
      </c>
      <c r="AE45" s="34">
        <f t="shared" si="23"/>
        <v>0</v>
      </c>
      <c r="AF45" s="34">
        <f t="shared" si="23"/>
        <v>0</v>
      </c>
      <c r="AG45" s="34">
        <f t="shared" si="23"/>
        <v>0</v>
      </c>
      <c r="AH45" s="34">
        <f t="shared" si="23"/>
        <v>0</v>
      </c>
    </row>
    <row r="46" spans="1:34" s="2" customFormat="1" ht="13.15" x14ac:dyDescent="0.4">
      <c r="A46" s="32" t="s">
        <v>38</v>
      </c>
      <c r="B46" s="34">
        <f t="shared" si="16"/>
        <v>-5600</v>
      </c>
      <c r="C46" s="30"/>
      <c r="D46" s="35" t="s">
        <v>71</v>
      </c>
      <c r="E46" s="34">
        <f>E34+E36</f>
        <v>-1200</v>
      </c>
      <c r="F46" s="34">
        <f t="shared" ref="F46:AH46" si="24">F34+F36</f>
        <v>-1160</v>
      </c>
      <c r="G46" s="34">
        <f t="shared" si="24"/>
        <v>-1120</v>
      </c>
      <c r="H46" s="34">
        <f t="shared" si="24"/>
        <v>-1080</v>
      </c>
      <c r="I46" s="34">
        <f t="shared" si="24"/>
        <v>-1040</v>
      </c>
      <c r="J46" s="34">
        <f t="shared" si="24"/>
        <v>0</v>
      </c>
      <c r="K46" s="34">
        <f t="shared" si="24"/>
        <v>0</v>
      </c>
      <c r="L46" s="34">
        <f t="shared" si="24"/>
        <v>0</v>
      </c>
      <c r="M46" s="34">
        <f t="shared" si="24"/>
        <v>0</v>
      </c>
      <c r="N46" s="34">
        <f t="shared" si="24"/>
        <v>0</v>
      </c>
      <c r="O46" s="34">
        <f t="shared" si="24"/>
        <v>0</v>
      </c>
      <c r="P46" s="34">
        <f t="shared" si="24"/>
        <v>0</v>
      </c>
      <c r="Q46" s="34">
        <f t="shared" si="24"/>
        <v>0</v>
      </c>
      <c r="R46" s="34">
        <f t="shared" si="24"/>
        <v>0</v>
      </c>
      <c r="S46" s="34">
        <f t="shared" si="24"/>
        <v>0</v>
      </c>
      <c r="T46" s="34">
        <f t="shared" si="24"/>
        <v>0</v>
      </c>
      <c r="U46" s="34">
        <f t="shared" si="24"/>
        <v>0</v>
      </c>
      <c r="V46" s="34">
        <f t="shared" si="24"/>
        <v>0</v>
      </c>
      <c r="W46" s="34">
        <f t="shared" si="24"/>
        <v>0</v>
      </c>
      <c r="X46" s="34">
        <f t="shared" si="24"/>
        <v>0</v>
      </c>
      <c r="Y46" s="34">
        <f t="shared" si="24"/>
        <v>0</v>
      </c>
      <c r="Z46" s="34">
        <f t="shared" si="24"/>
        <v>0</v>
      </c>
      <c r="AA46" s="34">
        <f t="shared" si="24"/>
        <v>0</v>
      </c>
      <c r="AB46" s="34">
        <f t="shared" si="24"/>
        <v>0</v>
      </c>
      <c r="AC46" s="34">
        <f t="shared" si="24"/>
        <v>0</v>
      </c>
      <c r="AD46" s="34">
        <f t="shared" si="24"/>
        <v>0</v>
      </c>
      <c r="AE46" s="34">
        <f t="shared" si="24"/>
        <v>0</v>
      </c>
      <c r="AF46" s="34">
        <f t="shared" si="24"/>
        <v>0</v>
      </c>
      <c r="AG46" s="34">
        <f t="shared" si="24"/>
        <v>0</v>
      </c>
      <c r="AH46" s="34">
        <f t="shared" si="24"/>
        <v>0</v>
      </c>
    </row>
    <row r="47" spans="1:34" s="2" customFormat="1" ht="13.15" x14ac:dyDescent="0.4">
      <c r="A47" s="37" t="str">
        <f>"Total "&amp;B6&amp;"yr running costs"</f>
        <v>Total 25yr running costs</v>
      </c>
      <c r="B47" s="38">
        <f>SUM(B39:B46)</f>
        <v>-72239.389640207446</v>
      </c>
      <c r="C47" s="36"/>
    </row>
    <row r="48" spans="1:34" s="2" customFormat="1" ht="13.5" thickBot="1" x14ac:dyDescent="0.45">
      <c r="A48" s="39" t="s">
        <v>16</v>
      </c>
      <c r="B48" s="40">
        <f>B47/B6</f>
        <v>-2889.5755856082978</v>
      </c>
      <c r="C48" s="36"/>
      <c r="D48" s="41" t="s">
        <v>26</v>
      </c>
      <c r="E48" s="42">
        <f>SUM(E39:E46)</f>
        <v>-2500</v>
      </c>
      <c r="F48" s="42">
        <f t="shared" ref="F48:AH48" si="25">SUM(F39:F46)</f>
        <v>-2486</v>
      </c>
      <c r="G48" s="42">
        <f t="shared" si="25"/>
        <v>-2472.52</v>
      </c>
      <c r="H48" s="42">
        <f t="shared" si="25"/>
        <v>-2459.5704000000005</v>
      </c>
      <c r="I48" s="42">
        <f t="shared" si="25"/>
        <v>-2447.1618079999998</v>
      </c>
      <c r="J48" s="42">
        <f t="shared" si="25"/>
        <v>-2685.3050441600003</v>
      </c>
      <c r="K48" s="42">
        <f t="shared" si="25"/>
        <v>-2714.0111450432</v>
      </c>
      <c r="L48" s="42">
        <f t="shared" si="25"/>
        <v>-2743.2913679440639</v>
      </c>
      <c r="M48" s="42">
        <f t="shared" si="25"/>
        <v>-2773.1571953029456</v>
      </c>
      <c r="N48" s="42">
        <f t="shared" si="25"/>
        <v>-2803.6203392090042</v>
      </c>
      <c r="O48" s="42">
        <f t="shared" si="25"/>
        <v>-2834.6927459931849</v>
      </c>
      <c r="P48" s="42">
        <f t="shared" si="25"/>
        <v>-2866.3866009130484</v>
      </c>
      <c r="Q48" s="42">
        <f t="shared" si="25"/>
        <v>-2898.7143329313094</v>
      </c>
      <c r="R48" s="42">
        <f t="shared" si="25"/>
        <v>-2931.688619589936</v>
      </c>
      <c r="S48" s="42">
        <f t="shared" si="25"/>
        <v>-2965.3223919817342</v>
      </c>
      <c r="T48" s="42">
        <f t="shared" si="25"/>
        <v>-2999.6288398213692</v>
      </c>
      <c r="U48" s="42">
        <f t="shared" si="25"/>
        <v>-3034.621416617797</v>
      </c>
      <c r="V48" s="42">
        <f t="shared" si="25"/>
        <v>-3070.313844950153</v>
      </c>
      <c r="W48" s="42">
        <f t="shared" si="25"/>
        <v>-3106.7201218491559</v>
      </c>
      <c r="X48" s="42">
        <f t="shared" si="25"/>
        <v>-3143.8545242861383</v>
      </c>
      <c r="Y48" s="42">
        <f t="shared" si="25"/>
        <v>-3181.7316147718616</v>
      </c>
      <c r="Z48" s="42">
        <f t="shared" si="25"/>
        <v>-3220.3662470672984</v>
      </c>
      <c r="AA48" s="42">
        <f t="shared" si="25"/>
        <v>-3259.7735720086448</v>
      </c>
      <c r="AB48" s="42">
        <f t="shared" si="25"/>
        <v>-3299.969043448818</v>
      </c>
      <c r="AC48" s="42">
        <f t="shared" si="25"/>
        <v>-3340.968424317794</v>
      </c>
      <c r="AD48" s="42">
        <f t="shared" si="25"/>
        <v>0</v>
      </c>
      <c r="AE48" s="42">
        <f t="shared" si="25"/>
        <v>0</v>
      </c>
      <c r="AF48" s="42">
        <f t="shared" si="25"/>
        <v>0</v>
      </c>
      <c r="AG48" s="42">
        <f t="shared" si="25"/>
        <v>0</v>
      </c>
      <c r="AH48" s="42">
        <f t="shared" si="25"/>
        <v>0</v>
      </c>
    </row>
    <row r="49" spans="1:35" s="2" customFormat="1" ht="13.5" thickTop="1" x14ac:dyDescent="0.4">
      <c r="C49" s="36"/>
    </row>
    <row r="50" spans="1:35" s="2" customFormat="1" ht="13.5" thickBot="1" x14ac:dyDescent="0.45">
      <c r="A50" s="43" t="s">
        <v>27</v>
      </c>
      <c r="B50" s="44">
        <f>SUMIF($E$3:$AH$3,"&lt;"&amp;$B$6+1,E52:AH52)</f>
        <v>16689.303501489765</v>
      </c>
      <c r="C50" s="36"/>
      <c r="D50" s="45" t="s">
        <v>28</v>
      </c>
      <c r="E50" s="46">
        <f t="shared" ref="E50:AH50" si="26">E30+E48</f>
        <v>407</v>
      </c>
      <c r="F50" s="46">
        <f t="shared" si="26"/>
        <v>464.3143</v>
      </c>
      <c r="G50" s="46">
        <f t="shared" si="26"/>
        <v>521.75398306999978</v>
      </c>
      <c r="H50" s="46">
        <f t="shared" si="26"/>
        <v>579.31826541774262</v>
      </c>
      <c r="I50" s="46">
        <f t="shared" si="26"/>
        <v>637.00629853246846</v>
      </c>
      <c r="J50" s="46">
        <f t="shared" si="26"/>
        <v>444.81716715980156</v>
      </c>
      <c r="K50" s="46">
        <f t="shared" si="26"/>
        <v>475.24988722526632</v>
      </c>
      <c r="L50" s="46">
        <f t="shared" si="26"/>
        <v>505.92840370520207</v>
      </c>
      <c r="M50" s="46">
        <f t="shared" si="26"/>
        <v>536.8528384438946</v>
      </c>
      <c r="N50" s="46">
        <f t="shared" si="26"/>
        <v>568.02325041566337</v>
      </c>
      <c r="O50" s="46">
        <f t="shared" si="26"/>
        <v>599.43963355564028</v>
      </c>
      <c r="P50" s="46">
        <f t="shared" si="26"/>
        <v>631.10191453419156</v>
      </c>
      <c r="Q50" s="46">
        <f t="shared" si="26"/>
        <v>663.0099504736645</v>
      </c>
      <c r="R50" s="46">
        <f t="shared" si="26"/>
        <v>695.16352660611574</v>
      </c>
      <c r="S50" s="46">
        <f t="shared" si="26"/>
        <v>727.56235387066727</v>
      </c>
      <c r="T50" s="46">
        <f t="shared" si="26"/>
        <v>760.20606644904137</v>
      </c>
      <c r="U50" s="46">
        <f t="shared" si="26"/>
        <v>793.09421923789887</v>
      </c>
      <c r="V50" s="46">
        <f t="shared" si="26"/>
        <v>826.22628525646769</v>
      </c>
      <c r="W50" s="46">
        <f t="shared" si="26"/>
        <v>859.60165298798483</v>
      </c>
      <c r="X50" s="46">
        <f t="shared" si="26"/>
        <v>893.21962365342233</v>
      </c>
      <c r="Y50" s="46">
        <f t="shared" si="26"/>
        <v>927.07940841591835</v>
      </c>
      <c r="Z50" s="46">
        <f t="shared" si="26"/>
        <v>961.18012551433776</v>
      </c>
      <c r="AA50" s="46">
        <f t="shared" si="26"/>
        <v>995.52079732430047</v>
      </c>
      <c r="AB50" s="46">
        <f t="shared" si="26"/>
        <v>1030.1003473450278</v>
      </c>
      <c r="AC50" s="46">
        <f t="shared" si="26"/>
        <v>1064.9175971102991</v>
      </c>
      <c r="AD50" s="46">
        <f t="shared" si="26"/>
        <v>0</v>
      </c>
      <c r="AE50" s="46">
        <f t="shared" si="26"/>
        <v>0</v>
      </c>
      <c r="AF50" s="46">
        <f t="shared" si="26"/>
        <v>0</v>
      </c>
      <c r="AG50" s="46">
        <f t="shared" si="26"/>
        <v>0</v>
      </c>
      <c r="AH50" s="46">
        <f t="shared" si="26"/>
        <v>0</v>
      </c>
    </row>
    <row r="51" spans="1:35" s="2" customFormat="1" ht="13.5" thickTop="1" x14ac:dyDescent="0.4">
      <c r="A51" s="43" t="s">
        <v>59</v>
      </c>
      <c r="B51" s="91">
        <f>SUMIF($E$3:$AH$3,"&lt;"&amp;$B$6+1,E54:AH54)</f>
        <v>878.38439481525086</v>
      </c>
      <c r="C51" s="36"/>
      <c r="D51" s="47" t="s">
        <v>29</v>
      </c>
      <c r="E51" s="48">
        <f>E50/$B$20</f>
        <v>1.6279999999999999E-2</v>
      </c>
      <c r="F51" s="48">
        <f t="shared" ref="F51:AH51" si="27">F50/$B$20</f>
        <v>1.8572571999999999E-2</v>
      </c>
      <c r="G51" s="48">
        <f t="shared" si="27"/>
        <v>2.0870159322799991E-2</v>
      </c>
      <c r="H51" s="48">
        <f t="shared" si="27"/>
        <v>2.3172730616709707E-2</v>
      </c>
      <c r="I51" s="48">
        <f t="shared" si="27"/>
        <v>2.5480251941298739E-2</v>
      </c>
      <c r="J51" s="48">
        <f t="shared" si="27"/>
        <v>1.7792686686392063E-2</v>
      </c>
      <c r="K51" s="48">
        <f t="shared" si="27"/>
        <v>1.9009995489010653E-2</v>
      </c>
      <c r="L51" s="48">
        <f t="shared" si="27"/>
        <v>2.0237136148208084E-2</v>
      </c>
      <c r="M51" s="48">
        <f t="shared" si="27"/>
        <v>2.1474113537755784E-2</v>
      </c>
      <c r="N51" s="48">
        <f t="shared" si="27"/>
        <v>2.2720930016626534E-2</v>
      </c>
      <c r="O51" s="48">
        <f t="shared" si="27"/>
        <v>2.3977585342225612E-2</v>
      </c>
      <c r="P51" s="48">
        <f t="shared" si="27"/>
        <v>2.5244076581367663E-2</v>
      </c>
      <c r="Q51" s="48">
        <f t="shared" si="27"/>
        <v>2.6520398018946581E-2</v>
      </c>
      <c r="R51" s="48">
        <f t="shared" si="27"/>
        <v>2.7806541064244631E-2</v>
      </c>
      <c r="S51" s="48">
        <f t="shared" si="27"/>
        <v>2.9102494154826689E-2</v>
      </c>
      <c r="T51" s="48">
        <f t="shared" si="27"/>
        <v>3.0408242657961656E-2</v>
      </c>
      <c r="U51" s="48">
        <f t="shared" si="27"/>
        <v>3.1723768769515957E-2</v>
      </c>
      <c r="V51" s="48">
        <f t="shared" si="27"/>
        <v>3.3049051410258705E-2</v>
      </c>
      <c r="W51" s="48">
        <f t="shared" si="27"/>
        <v>3.4384066119519392E-2</v>
      </c>
      <c r="X51" s="48">
        <f t="shared" si="27"/>
        <v>3.5728784946136891E-2</v>
      </c>
      <c r="Y51" s="48">
        <f t="shared" si="27"/>
        <v>3.7083176336636735E-2</v>
      </c>
      <c r="Z51" s="48">
        <f t="shared" si="27"/>
        <v>3.8447205020573513E-2</v>
      </c>
      <c r="AA51" s="48">
        <f t="shared" si="27"/>
        <v>3.9820831892972017E-2</v>
      </c>
      <c r="AB51" s="48">
        <f t="shared" si="27"/>
        <v>4.1204013893801114E-2</v>
      </c>
      <c r="AC51" s="48">
        <f t="shared" si="27"/>
        <v>4.259670388441196E-2</v>
      </c>
      <c r="AD51" s="48">
        <f t="shared" si="27"/>
        <v>0</v>
      </c>
      <c r="AE51" s="48">
        <f t="shared" si="27"/>
        <v>0</v>
      </c>
      <c r="AF51" s="48">
        <f t="shared" si="27"/>
        <v>0</v>
      </c>
      <c r="AG51" s="48">
        <f t="shared" si="27"/>
        <v>0</v>
      </c>
      <c r="AH51" s="48">
        <f t="shared" si="27"/>
        <v>0</v>
      </c>
    </row>
    <row r="52" spans="1:35" s="2" customFormat="1" ht="13.15" x14ac:dyDescent="0.4">
      <c r="A52" s="49" t="s">
        <v>30</v>
      </c>
      <c r="B52" s="50">
        <f>SUM(B50:B51)</f>
        <v>17567.687896305015</v>
      </c>
      <c r="C52" s="36"/>
      <c r="D52" s="47" t="str">
        <f>"Shareholder return ("&amp;TEXT(1-B16,"0%")&amp;")"</f>
        <v>Shareholder return (95%)</v>
      </c>
      <c r="E52" s="44">
        <f t="shared" ref="E52:AH52" si="28">E50*(1-$B$16)</f>
        <v>386.65</v>
      </c>
      <c r="F52" s="44">
        <f t="shared" si="28"/>
        <v>441.09858499999996</v>
      </c>
      <c r="G52" s="44">
        <f t="shared" si="28"/>
        <v>495.66628391649976</v>
      </c>
      <c r="H52" s="44">
        <f t="shared" si="28"/>
        <v>550.35235214685542</v>
      </c>
      <c r="I52" s="44">
        <f t="shared" si="28"/>
        <v>605.15598360584499</v>
      </c>
      <c r="J52" s="44">
        <f t="shared" si="28"/>
        <v>422.57630880181148</v>
      </c>
      <c r="K52" s="44">
        <f t="shared" si="28"/>
        <v>451.48739286400297</v>
      </c>
      <c r="L52" s="44">
        <f t="shared" si="28"/>
        <v>480.63198351994197</v>
      </c>
      <c r="M52" s="44">
        <f t="shared" si="28"/>
        <v>510.01019652169987</v>
      </c>
      <c r="N52" s="44">
        <f t="shared" si="28"/>
        <v>539.62208789488022</v>
      </c>
      <c r="O52" s="44">
        <f t="shared" si="28"/>
        <v>569.4676518778582</v>
      </c>
      <c r="P52" s="44">
        <f t="shared" si="28"/>
        <v>599.54681880748194</v>
      </c>
      <c r="Q52" s="44">
        <f t="shared" si="28"/>
        <v>629.85945294998123</v>
      </c>
      <c r="R52" s="44">
        <f t="shared" si="28"/>
        <v>660.40535027580995</v>
      </c>
      <c r="S52" s="44">
        <f t="shared" si="28"/>
        <v>691.18423617713393</v>
      </c>
      <c r="T52" s="44">
        <f t="shared" si="28"/>
        <v>722.19576312658933</v>
      </c>
      <c r="U52" s="44">
        <f t="shared" si="28"/>
        <v>753.43950827600383</v>
      </c>
      <c r="V52" s="44">
        <f t="shared" si="28"/>
        <v>784.91497099364426</v>
      </c>
      <c r="W52" s="44">
        <f t="shared" si="28"/>
        <v>816.62157033858557</v>
      </c>
      <c r="X52" s="44">
        <f t="shared" si="28"/>
        <v>848.55864247075112</v>
      </c>
      <c r="Y52" s="44">
        <f t="shared" si="28"/>
        <v>880.72543799512243</v>
      </c>
      <c r="Z52" s="44">
        <f t="shared" si="28"/>
        <v>913.12111923862085</v>
      </c>
      <c r="AA52" s="44">
        <f t="shared" si="28"/>
        <v>945.74475745808536</v>
      </c>
      <c r="AB52" s="44">
        <f t="shared" si="28"/>
        <v>978.59532997777637</v>
      </c>
      <c r="AC52" s="44">
        <f t="shared" si="28"/>
        <v>1011.6717172547841</v>
      </c>
      <c r="AD52" s="44">
        <f t="shared" si="28"/>
        <v>0</v>
      </c>
      <c r="AE52" s="44">
        <f t="shared" si="28"/>
        <v>0</v>
      </c>
      <c r="AF52" s="44">
        <f t="shared" si="28"/>
        <v>0</v>
      </c>
      <c r="AG52" s="44">
        <f t="shared" si="28"/>
        <v>0</v>
      </c>
      <c r="AH52" s="44">
        <f t="shared" si="28"/>
        <v>0</v>
      </c>
    </row>
    <row r="53" spans="1:35" s="2" customFormat="1" ht="13.5" thickBot="1" x14ac:dyDescent="0.45">
      <c r="A53" s="51" t="s">
        <v>16</v>
      </c>
      <c r="B53" s="52">
        <f>B52/B6</f>
        <v>702.70751585220057</v>
      </c>
      <c r="C53" s="36"/>
      <c r="D53" s="53"/>
      <c r="E53" s="54">
        <f>E52/($B$20)</f>
        <v>1.5465999999999999E-2</v>
      </c>
      <c r="F53" s="54">
        <f t="shared" ref="F53:AH53" si="29">F52/($B$20)</f>
        <v>1.7643943399999997E-2</v>
      </c>
      <c r="G53" s="54">
        <f t="shared" si="29"/>
        <v>1.982665135665999E-2</v>
      </c>
      <c r="H53" s="54">
        <f t="shared" si="29"/>
        <v>2.2014094085874215E-2</v>
      </c>
      <c r="I53" s="54">
        <f t="shared" si="29"/>
        <v>2.4206239344233799E-2</v>
      </c>
      <c r="J53" s="54">
        <f t="shared" si="29"/>
        <v>1.690305235207246E-2</v>
      </c>
      <c r="K53" s="54">
        <f t="shared" si="29"/>
        <v>1.8059495714560118E-2</v>
      </c>
      <c r="L53" s="54">
        <f t="shared" si="29"/>
        <v>1.922527934079768E-2</v>
      </c>
      <c r="M53" s="54">
        <f t="shared" si="29"/>
        <v>2.0400407860867994E-2</v>
      </c>
      <c r="N53" s="54">
        <f t="shared" si="29"/>
        <v>2.1584883515795208E-2</v>
      </c>
      <c r="O53" s="54">
        <f t="shared" si="29"/>
        <v>2.2778706075114327E-2</v>
      </c>
      <c r="P53" s="54">
        <f t="shared" si="29"/>
        <v>2.3981872752299276E-2</v>
      </c>
      <c r="Q53" s="54">
        <f t="shared" si="29"/>
        <v>2.5194378117999249E-2</v>
      </c>
      <c r="R53" s="54">
        <f t="shared" si="29"/>
        <v>2.6416214011032398E-2</v>
      </c>
      <c r="S53" s="54">
        <f t="shared" si="29"/>
        <v>2.7647369447085356E-2</v>
      </c>
      <c r="T53" s="54">
        <f t="shared" si="29"/>
        <v>2.8887830525063572E-2</v>
      </c>
      <c r="U53" s="54">
        <f t="shared" si="29"/>
        <v>3.0137580331040154E-2</v>
      </c>
      <c r="V53" s="54">
        <f t="shared" si="29"/>
        <v>3.1396598839745771E-2</v>
      </c>
      <c r="W53" s="54">
        <f t="shared" si="29"/>
        <v>3.2664862813543423E-2</v>
      </c>
      <c r="X53" s="54">
        <f t="shared" si="29"/>
        <v>3.3942345698830048E-2</v>
      </c>
      <c r="Y53" s="54">
        <f t="shared" si="29"/>
        <v>3.5229017519804895E-2</v>
      </c>
      <c r="Z53" s="54">
        <f t="shared" si="29"/>
        <v>3.6524844769544831E-2</v>
      </c>
      <c r="AA53" s="54">
        <f t="shared" si="29"/>
        <v>3.7829790298323417E-2</v>
      </c>
      <c r="AB53" s="54">
        <f t="shared" si="29"/>
        <v>3.9143813199111054E-2</v>
      </c>
      <c r="AC53" s="54">
        <f t="shared" si="29"/>
        <v>4.0466868690191365E-2</v>
      </c>
      <c r="AD53" s="54">
        <f t="shared" si="29"/>
        <v>0</v>
      </c>
      <c r="AE53" s="54">
        <f t="shared" si="29"/>
        <v>0</v>
      </c>
      <c r="AF53" s="54">
        <f t="shared" si="29"/>
        <v>0</v>
      </c>
      <c r="AG53" s="54">
        <f t="shared" si="29"/>
        <v>0</v>
      </c>
      <c r="AH53" s="54">
        <f t="shared" si="29"/>
        <v>0</v>
      </c>
    </row>
    <row r="54" spans="1:35" s="2" customFormat="1" ht="13.5" thickTop="1" x14ac:dyDescent="0.4">
      <c r="A54" s="55" t="s">
        <v>31</v>
      </c>
      <c r="B54" s="56">
        <f>B53/((B20))</f>
        <v>2.8108300634088024E-2</v>
      </c>
      <c r="C54" s="36"/>
      <c r="D54" s="47" t="str">
        <f>"Community Fund ("&amp;TEXT(B16,"0%")&amp;")"</f>
        <v>Community Fund (5%)</v>
      </c>
      <c r="E54" s="44">
        <f>E50*($B$16)</f>
        <v>20.350000000000001</v>
      </c>
      <c r="F54" s="44">
        <f t="shared" ref="F54:AH54" si="30">F50*($B$16)</f>
        <v>23.215715000000003</v>
      </c>
      <c r="G54" s="44">
        <f t="shared" si="30"/>
        <v>26.08769915349999</v>
      </c>
      <c r="H54" s="44">
        <f t="shared" si="30"/>
        <v>28.965913270887132</v>
      </c>
      <c r="I54" s="44">
        <f t="shared" si="30"/>
        <v>31.850314926623426</v>
      </c>
      <c r="J54" s="44">
        <f t="shared" si="30"/>
        <v>22.240858357990078</v>
      </c>
      <c r="K54" s="44">
        <f t="shared" si="30"/>
        <v>23.762494361263318</v>
      </c>
      <c r="L54" s="44">
        <f t="shared" si="30"/>
        <v>25.296420185260104</v>
      </c>
      <c r="M54" s="44">
        <f t="shared" si="30"/>
        <v>26.84264192219473</v>
      </c>
      <c r="N54" s="44">
        <f t="shared" si="30"/>
        <v>28.401162520783171</v>
      </c>
      <c r="O54" s="44">
        <f t="shared" si="30"/>
        <v>29.971981677782015</v>
      </c>
      <c r="P54" s="44">
        <f t="shared" si="30"/>
        <v>31.555095726709581</v>
      </c>
      <c r="Q54" s="44">
        <f t="shared" si="30"/>
        <v>33.150497523683228</v>
      </c>
      <c r="R54" s="44">
        <f t="shared" si="30"/>
        <v>34.758176330305787</v>
      </c>
      <c r="S54" s="44">
        <f t="shared" si="30"/>
        <v>36.378117693533362</v>
      </c>
      <c r="T54" s="44">
        <f t="shared" si="30"/>
        <v>38.010303322452067</v>
      </c>
      <c r="U54" s="44">
        <f t="shared" si="30"/>
        <v>39.654710961894949</v>
      </c>
      <c r="V54" s="44">
        <f t="shared" si="30"/>
        <v>41.311314262823387</v>
      </c>
      <c r="W54" s="44">
        <f t="shared" si="30"/>
        <v>42.980082649399243</v>
      </c>
      <c r="X54" s="44">
        <f t="shared" si="30"/>
        <v>44.660981182671122</v>
      </c>
      <c r="Y54" s="44">
        <f t="shared" si="30"/>
        <v>46.353970420795918</v>
      </c>
      <c r="Z54" s="44">
        <f t="shared" si="30"/>
        <v>48.059006275716889</v>
      </c>
      <c r="AA54" s="44">
        <f t="shared" si="30"/>
        <v>49.776039866215029</v>
      </c>
      <c r="AB54" s="44">
        <f t="shared" si="30"/>
        <v>51.505017367251391</v>
      </c>
      <c r="AC54" s="44">
        <f t="shared" si="30"/>
        <v>53.245879855514957</v>
      </c>
      <c r="AD54" s="44">
        <f t="shared" si="30"/>
        <v>0</v>
      </c>
      <c r="AE54" s="44">
        <f t="shared" si="30"/>
        <v>0</v>
      </c>
      <c r="AF54" s="44">
        <f t="shared" si="30"/>
        <v>0</v>
      </c>
      <c r="AG54" s="44">
        <f t="shared" si="30"/>
        <v>0</v>
      </c>
      <c r="AH54" s="44">
        <f t="shared" si="30"/>
        <v>0</v>
      </c>
    </row>
    <row r="55" spans="1:35" s="2" customFormat="1" ht="13.15" x14ac:dyDescent="0.4">
      <c r="A55" s="57" t="s">
        <v>32</v>
      </c>
      <c r="B55" s="95">
        <f>(B50/B6)/B20</f>
        <v>2.6702885602383625E-2</v>
      </c>
      <c r="C55" s="36"/>
      <c r="D55" s="43"/>
      <c r="E55" s="48">
        <f>E54/($B$20)</f>
        <v>8.1400000000000005E-4</v>
      </c>
      <c r="F55" s="48">
        <f t="shared" ref="F55:AH55" si="31">F54/($B$20)</f>
        <v>9.2862860000000012E-4</v>
      </c>
      <c r="G55" s="48">
        <f t="shared" si="31"/>
        <v>1.0435079661399995E-3</v>
      </c>
      <c r="H55" s="48">
        <f t="shared" si="31"/>
        <v>1.1586365308354854E-3</v>
      </c>
      <c r="I55" s="48">
        <f t="shared" si="31"/>
        <v>1.2740125970649371E-3</v>
      </c>
      <c r="J55" s="48">
        <f t="shared" si="31"/>
        <v>8.8963433431960308E-4</v>
      </c>
      <c r="K55" s="48">
        <f t="shared" si="31"/>
        <v>9.5049977445053272E-4</v>
      </c>
      <c r="L55" s="48">
        <f t="shared" si="31"/>
        <v>1.0118568074104042E-3</v>
      </c>
      <c r="M55" s="48">
        <f t="shared" si="31"/>
        <v>1.0737056768877892E-3</v>
      </c>
      <c r="N55" s="48">
        <f t="shared" si="31"/>
        <v>1.1360465008313269E-3</v>
      </c>
      <c r="O55" s="48">
        <f t="shared" si="31"/>
        <v>1.1988792671112805E-3</v>
      </c>
      <c r="P55" s="48">
        <f t="shared" si="31"/>
        <v>1.2622038290683833E-3</v>
      </c>
      <c r="Q55" s="48">
        <f t="shared" si="31"/>
        <v>1.3260199009473292E-3</v>
      </c>
      <c r="R55" s="48">
        <f t="shared" si="31"/>
        <v>1.3903270532122315E-3</v>
      </c>
      <c r="S55" s="48">
        <f t="shared" si="31"/>
        <v>1.4551247077413344E-3</v>
      </c>
      <c r="T55" s="48">
        <f t="shared" si="31"/>
        <v>1.5204121328980828E-3</v>
      </c>
      <c r="U55" s="48">
        <f t="shared" si="31"/>
        <v>1.5861884384757979E-3</v>
      </c>
      <c r="V55" s="48">
        <f t="shared" si="31"/>
        <v>1.6524525705129355E-3</v>
      </c>
      <c r="W55" s="48">
        <f t="shared" si="31"/>
        <v>1.7192033059759697E-3</v>
      </c>
      <c r="X55" s="48">
        <f t="shared" si="31"/>
        <v>1.7864392473068448E-3</v>
      </c>
      <c r="Y55" s="48">
        <f t="shared" si="31"/>
        <v>1.8541588168318366E-3</v>
      </c>
      <c r="Z55" s="48">
        <f t="shared" si="31"/>
        <v>1.9223602510286756E-3</v>
      </c>
      <c r="AA55" s="48">
        <f t="shared" si="31"/>
        <v>1.991041594648601E-3</v>
      </c>
      <c r="AB55" s="48">
        <f t="shared" si="31"/>
        <v>2.0602006946900558E-3</v>
      </c>
      <c r="AC55" s="48">
        <f t="shared" si="31"/>
        <v>2.1298351942205984E-3</v>
      </c>
      <c r="AD55" s="48">
        <f t="shared" si="31"/>
        <v>0</v>
      </c>
      <c r="AE55" s="48">
        <f t="shared" si="31"/>
        <v>0</v>
      </c>
      <c r="AF55" s="48">
        <f t="shared" si="31"/>
        <v>0</v>
      </c>
      <c r="AG55" s="48">
        <f t="shared" si="31"/>
        <v>0</v>
      </c>
      <c r="AH55" s="48">
        <f t="shared" si="31"/>
        <v>0</v>
      </c>
    </row>
    <row r="56" spans="1:35" s="2" customFormat="1" ht="13.15" x14ac:dyDescent="0.4">
      <c r="A56" s="57" t="s">
        <v>33</v>
      </c>
      <c r="B56" s="56">
        <f>(B51/B6)/B20</f>
        <v>1.4054150317044014E-3</v>
      </c>
      <c r="C56" s="36"/>
    </row>
    <row r="57" spans="1:35" x14ac:dyDescent="0.45">
      <c r="A57" s="2"/>
      <c r="B57" s="2"/>
      <c r="C57" s="36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s="66" customFormat="1" x14ac:dyDescent="0.45">
      <c r="A58" s="2"/>
      <c r="B58" s="36"/>
      <c r="C58" s="36"/>
      <c r="D58" s="58" t="s">
        <v>64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2"/>
    </row>
    <row r="59" spans="1:35" s="66" customFormat="1" x14ac:dyDescent="0.45">
      <c r="A59" s="68"/>
      <c r="B59" s="69"/>
      <c r="C59" s="63"/>
      <c r="D59" s="59" t="s">
        <v>20</v>
      </c>
      <c r="E59" s="60">
        <f>IF(E3&gt;$B$6,0,-E41)</f>
        <v>0</v>
      </c>
      <c r="F59" s="60">
        <f t="shared" ref="F59:AH59" si="32">IF(F3&gt;$B$6,0,-F41)</f>
        <v>0</v>
      </c>
      <c r="G59" s="60">
        <f t="shared" si="32"/>
        <v>0</v>
      </c>
      <c r="H59" s="60">
        <f t="shared" si="32"/>
        <v>0</v>
      </c>
      <c r="I59" s="60">
        <f t="shared" si="32"/>
        <v>0</v>
      </c>
      <c r="J59" s="60">
        <f t="shared" si="32"/>
        <v>1250</v>
      </c>
      <c r="K59" s="60">
        <f t="shared" si="32"/>
        <v>1250</v>
      </c>
      <c r="L59" s="60">
        <f t="shared" si="32"/>
        <v>1250</v>
      </c>
      <c r="M59" s="60">
        <f t="shared" si="32"/>
        <v>1250</v>
      </c>
      <c r="N59" s="60">
        <f t="shared" si="32"/>
        <v>1250</v>
      </c>
      <c r="O59" s="60">
        <f t="shared" si="32"/>
        <v>1250</v>
      </c>
      <c r="P59" s="60">
        <f t="shared" si="32"/>
        <v>1250</v>
      </c>
      <c r="Q59" s="60">
        <f t="shared" si="32"/>
        <v>1250</v>
      </c>
      <c r="R59" s="60">
        <f t="shared" si="32"/>
        <v>1250</v>
      </c>
      <c r="S59" s="60">
        <f t="shared" si="32"/>
        <v>1250</v>
      </c>
      <c r="T59" s="60">
        <f t="shared" si="32"/>
        <v>1250</v>
      </c>
      <c r="U59" s="60">
        <f t="shared" si="32"/>
        <v>1250</v>
      </c>
      <c r="V59" s="60">
        <f t="shared" si="32"/>
        <v>1250</v>
      </c>
      <c r="W59" s="60">
        <f t="shared" si="32"/>
        <v>1250</v>
      </c>
      <c r="X59" s="60">
        <f t="shared" si="32"/>
        <v>1250</v>
      </c>
      <c r="Y59" s="60">
        <f t="shared" si="32"/>
        <v>1250</v>
      </c>
      <c r="Z59" s="60">
        <f t="shared" si="32"/>
        <v>1250</v>
      </c>
      <c r="AA59" s="60">
        <f t="shared" si="32"/>
        <v>1250</v>
      </c>
      <c r="AB59" s="60">
        <f t="shared" si="32"/>
        <v>1250</v>
      </c>
      <c r="AC59" s="60">
        <f t="shared" si="32"/>
        <v>1250</v>
      </c>
      <c r="AD59" s="60">
        <f t="shared" si="32"/>
        <v>0</v>
      </c>
      <c r="AE59" s="60">
        <f t="shared" si="32"/>
        <v>0</v>
      </c>
      <c r="AF59" s="60">
        <f t="shared" si="32"/>
        <v>0</v>
      </c>
      <c r="AG59" s="60">
        <f t="shared" si="32"/>
        <v>0</v>
      </c>
      <c r="AH59" s="60">
        <f t="shared" si="32"/>
        <v>0</v>
      </c>
      <c r="AI59" s="2"/>
    </row>
    <row r="60" spans="1:35" x14ac:dyDescent="0.45">
      <c r="C60" s="66"/>
      <c r="D60" s="61" t="str">
        <f>"Interest @ "&amp;TEXT(B13,"0%")</f>
        <v>Interest @ 1%</v>
      </c>
      <c r="E60" s="60">
        <v>0</v>
      </c>
      <c r="F60" s="62">
        <f>IF(F3&gt;$B$6,0,E61*$B$13)</f>
        <v>0</v>
      </c>
      <c r="G60" s="62">
        <f t="shared" ref="G60:AH60" si="33">IF(G3&gt;$B$6,0,F61*$B$13)</f>
        <v>0</v>
      </c>
      <c r="H60" s="62">
        <f t="shared" si="33"/>
        <v>0</v>
      </c>
      <c r="I60" s="62">
        <f t="shared" si="33"/>
        <v>0</v>
      </c>
      <c r="J60" s="62">
        <f t="shared" si="33"/>
        <v>0</v>
      </c>
      <c r="K60" s="62">
        <f t="shared" si="33"/>
        <v>12.5</v>
      </c>
      <c r="L60" s="62">
        <f t="shared" si="33"/>
        <v>25.125</v>
      </c>
      <c r="M60" s="62">
        <f t="shared" si="33"/>
        <v>37.876249999999999</v>
      </c>
      <c r="N60" s="62">
        <f t="shared" si="33"/>
        <v>50.755012500000007</v>
      </c>
      <c r="O60" s="62">
        <f t="shared" si="33"/>
        <v>63.762562625000001</v>
      </c>
      <c r="P60" s="62">
        <f t="shared" si="33"/>
        <v>76.90018825125</v>
      </c>
      <c r="Q60" s="62">
        <f t="shared" si="33"/>
        <v>90.169190133762498</v>
      </c>
      <c r="R60" s="62">
        <f t="shared" si="33"/>
        <v>103.57088203510011</v>
      </c>
      <c r="S60" s="62">
        <f t="shared" si="33"/>
        <v>117.1065908554511</v>
      </c>
      <c r="T60" s="62">
        <f t="shared" si="33"/>
        <v>130.77765676400563</v>
      </c>
      <c r="U60" s="62">
        <f t="shared" si="33"/>
        <v>144.58543333164567</v>
      </c>
      <c r="V60" s="62">
        <f t="shared" si="33"/>
        <v>158.53128766496212</v>
      </c>
      <c r="W60" s="62">
        <f t="shared" si="33"/>
        <v>172.61660054161177</v>
      </c>
      <c r="X60" s="62">
        <f t="shared" si="33"/>
        <v>186.84276654702791</v>
      </c>
      <c r="Y60" s="62">
        <f t="shared" si="33"/>
        <v>201.21119421249816</v>
      </c>
      <c r="Z60" s="62">
        <f t="shared" si="33"/>
        <v>215.72330615462315</v>
      </c>
      <c r="AA60" s="62">
        <f t="shared" si="33"/>
        <v>230.38053921616938</v>
      </c>
      <c r="AB60" s="62">
        <f t="shared" si="33"/>
        <v>245.18434460833109</v>
      </c>
      <c r="AC60" s="62">
        <f t="shared" si="33"/>
        <v>260.13618805441439</v>
      </c>
      <c r="AD60" s="62">
        <f t="shared" si="33"/>
        <v>0</v>
      </c>
      <c r="AE60" s="62">
        <f t="shared" si="33"/>
        <v>0</v>
      </c>
      <c r="AF60" s="62">
        <f t="shared" si="33"/>
        <v>0</v>
      </c>
      <c r="AG60" s="62">
        <f t="shared" si="33"/>
        <v>0</v>
      </c>
      <c r="AH60" s="62">
        <f t="shared" si="33"/>
        <v>0</v>
      </c>
    </row>
    <row r="61" spans="1:35" x14ac:dyDescent="0.45">
      <c r="A61" s="65"/>
      <c r="B61" s="66"/>
      <c r="C61" s="66"/>
      <c r="D61" s="64" t="s">
        <v>34</v>
      </c>
      <c r="E61" s="60">
        <f>E59+E60</f>
        <v>0</v>
      </c>
      <c r="F61" s="62">
        <f t="shared" ref="F61:AH61" si="34">E61+F59+F60</f>
        <v>0</v>
      </c>
      <c r="G61" s="62">
        <f t="shared" si="34"/>
        <v>0</v>
      </c>
      <c r="H61" s="62">
        <f t="shared" si="34"/>
        <v>0</v>
      </c>
      <c r="I61" s="62">
        <f t="shared" si="34"/>
        <v>0</v>
      </c>
      <c r="J61" s="62">
        <f t="shared" si="34"/>
        <v>1250</v>
      </c>
      <c r="K61" s="62">
        <f t="shared" si="34"/>
        <v>2512.5</v>
      </c>
      <c r="L61" s="62">
        <f t="shared" si="34"/>
        <v>3787.625</v>
      </c>
      <c r="M61" s="62">
        <f t="shared" si="34"/>
        <v>5075.5012500000003</v>
      </c>
      <c r="N61" s="62">
        <f t="shared" si="34"/>
        <v>6376.2562625</v>
      </c>
      <c r="O61" s="62">
        <f t="shared" si="34"/>
        <v>7690.0188251250001</v>
      </c>
      <c r="P61" s="62">
        <f t="shared" si="34"/>
        <v>9016.9190133762495</v>
      </c>
      <c r="Q61" s="62">
        <f t="shared" si="34"/>
        <v>10357.088203510011</v>
      </c>
      <c r="R61" s="62">
        <f t="shared" si="34"/>
        <v>11710.65908554511</v>
      </c>
      <c r="S61" s="62">
        <f t="shared" si="34"/>
        <v>13077.765676400562</v>
      </c>
      <c r="T61" s="62">
        <f t="shared" si="34"/>
        <v>14458.543333164567</v>
      </c>
      <c r="U61" s="62">
        <f t="shared" si="34"/>
        <v>15853.128766496213</v>
      </c>
      <c r="V61" s="62">
        <f t="shared" si="34"/>
        <v>17261.660054161177</v>
      </c>
      <c r="W61" s="62">
        <f t="shared" si="34"/>
        <v>18684.27665470279</v>
      </c>
      <c r="X61" s="62">
        <f t="shared" si="34"/>
        <v>20121.119421249816</v>
      </c>
      <c r="Y61" s="62">
        <f t="shared" si="34"/>
        <v>21572.330615462313</v>
      </c>
      <c r="Z61" s="62">
        <f t="shared" si="34"/>
        <v>23038.053921616938</v>
      </c>
      <c r="AA61" s="62">
        <f t="shared" si="34"/>
        <v>24518.434460833108</v>
      </c>
      <c r="AB61" s="62">
        <f t="shared" si="34"/>
        <v>26013.618805441438</v>
      </c>
      <c r="AC61" s="62">
        <f t="shared" si="34"/>
        <v>27523.754993495852</v>
      </c>
      <c r="AD61" s="62">
        <f t="shared" si="34"/>
        <v>27523.754993495852</v>
      </c>
      <c r="AE61" s="62">
        <f t="shared" si="34"/>
        <v>27523.754993495852</v>
      </c>
      <c r="AF61" s="62">
        <f t="shared" si="34"/>
        <v>27523.754993495852</v>
      </c>
      <c r="AG61" s="62">
        <f t="shared" si="34"/>
        <v>27523.754993495852</v>
      </c>
      <c r="AH61" s="62">
        <f t="shared" si="34"/>
        <v>27523.754993495852</v>
      </c>
      <c r="AI61" s="66"/>
    </row>
    <row r="62" spans="1:35" x14ac:dyDescent="0.45">
      <c r="A62" s="66"/>
      <c r="B62" s="66"/>
      <c r="D62" s="64" t="s">
        <v>37</v>
      </c>
      <c r="E62" s="60">
        <f>B20-E59</f>
        <v>25000</v>
      </c>
      <c r="F62" s="62">
        <f>E62-F59</f>
        <v>25000</v>
      </c>
      <c r="G62" s="62">
        <f t="shared" ref="G62:AH62" si="35">F62-G59</f>
        <v>25000</v>
      </c>
      <c r="H62" s="62">
        <f t="shared" si="35"/>
        <v>25000</v>
      </c>
      <c r="I62" s="62">
        <f t="shared" si="35"/>
        <v>25000</v>
      </c>
      <c r="J62" s="62">
        <f t="shared" si="35"/>
        <v>23750</v>
      </c>
      <c r="K62" s="62">
        <f t="shared" si="35"/>
        <v>22500</v>
      </c>
      <c r="L62" s="62">
        <f t="shared" si="35"/>
        <v>21250</v>
      </c>
      <c r="M62" s="62">
        <f t="shared" si="35"/>
        <v>20000</v>
      </c>
      <c r="N62" s="62">
        <f t="shared" si="35"/>
        <v>18750</v>
      </c>
      <c r="O62" s="62">
        <f t="shared" si="35"/>
        <v>17500</v>
      </c>
      <c r="P62" s="62">
        <f t="shared" si="35"/>
        <v>16250</v>
      </c>
      <c r="Q62" s="62">
        <f t="shared" si="35"/>
        <v>15000</v>
      </c>
      <c r="R62" s="62">
        <f t="shared" si="35"/>
        <v>13750</v>
      </c>
      <c r="S62" s="62">
        <f t="shared" si="35"/>
        <v>12500</v>
      </c>
      <c r="T62" s="62">
        <f t="shared" si="35"/>
        <v>11250</v>
      </c>
      <c r="U62" s="62">
        <f t="shared" si="35"/>
        <v>10000</v>
      </c>
      <c r="V62" s="62">
        <f t="shared" si="35"/>
        <v>8750</v>
      </c>
      <c r="W62" s="62">
        <f t="shared" si="35"/>
        <v>7500</v>
      </c>
      <c r="X62" s="62">
        <f t="shared" si="35"/>
        <v>6250</v>
      </c>
      <c r="Y62" s="62">
        <f t="shared" si="35"/>
        <v>5000</v>
      </c>
      <c r="Z62" s="62">
        <f t="shared" si="35"/>
        <v>3750</v>
      </c>
      <c r="AA62" s="62">
        <f t="shared" si="35"/>
        <v>2500</v>
      </c>
      <c r="AB62" s="62">
        <f t="shared" si="35"/>
        <v>1250</v>
      </c>
      <c r="AC62" s="62">
        <f t="shared" si="35"/>
        <v>0</v>
      </c>
      <c r="AD62" s="62">
        <f t="shared" si="35"/>
        <v>0</v>
      </c>
      <c r="AE62" s="62">
        <f t="shared" si="35"/>
        <v>0</v>
      </c>
      <c r="AF62" s="62">
        <f t="shared" si="35"/>
        <v>0</v>
      </c>
      <c r="AG62" s="62">
        <f t="shared" si="35"/>
        <v>0</v>
      </c>
      <c r="AH62" s="62">
        <f t="shared" si="35"/>
        <v>0</v>
      </c>
      <c r="AI62" s="66"/>
    </row>
    <row r="63" spans="1:35" x14ac:dyDescent="0.45">
      <c r="D63" s="29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</row>
    <row r="64" spans="1:35" x14ac:dyDescent="0.45">
      <c r="D64" s="58" t="s">
        <v>40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</row>
    <row r="65" spans="1:34" x14ac:dyDescent="0.45">
      <c r="D65" s="59" t="s">
        <v>41</v>
      </c>
      <c r="E65" s="60">
        <f>IF(E3&gt;$B$6,0,-E39)</f>
        <v>500</v>
      </c>
      <c r="F65" s="60">
        <f t="shared" ref="F65:AH65" si="36">IF(F3&gt;$B$6,0,-F39)</f>
        <v>510</v>
      </c>
      <c r="G65" s="60">
        <f t="shared" si="36"/>
        <v>520.20000000000005</v>
      </c>
      <c r="H65" s="60">
        <f t="shared" si="36"/>
        <v>530.60400000000004</v>
      </c>
      <c r="I65" s="60">
        <f t="shared" si="36"/>
        <v>541.21608000000003</v>
      </c>
      <c r="J65" s="60">
        <f t="shared" si="36"/>
        <v>552.0404016</v>
      </c>
      <c r="K65" s="60">
        <f t="shared" si="36"/>
        <v>563.08120963199997</v>
      </c>
      <c r="L65" s="60">
        <f t="shared" si="36"/>
        <v>574.34283382464002</v>
      </c>
      <c r="M65" s="60">
        <f t="shared" si="36"/>
        <v>585.82969050113286</v>
      </c>
      <c r="N65" s="60">
        <f t="shared" si="36"/>
        <v>597.54628431115555</v>
      </c>
      <c r="O65" s="60">
        <f t="shared" si="36"/>
        <v>609.49720999737872</v>
      </c>
      <c r="P65" s="60">
        <f t="shared" si="36"/>
        <v>621.68715419732632</v>
      </c>
      <c r="Q65" s="60">
        <f t="shared" si="36"/>
        <v>634.12089728127285</v>
      </c>
      <c r="R65" s="60">
        <f t="shared" si="36"/>
        <v>646.80331522689835</v>
      </c>
      <c r="S65" s="60">
        <f t="shared" si="36"/>
        <v>659.73938153143638</v>
      </c>
      <c r="T65" s="60">
        <f t="shared" si="36"/>
        <v>672.93416916206513</v>
      </c>
      <c r="U65" s="60">
        <f t="shared" si="36"/>
        <v>686.39285254530648</v>
      </c>
      <c r="V65" s="60">
        <f t="shared" si="36"/>
        <v>700.12070959621258</v>
      </c>
      <c r="W65" s="60">
        <f t="shared" si="36"/>
        <v>714.12312378813681</v>
      </c>
      <c r="X65" s="60">
        <f t="shared" si="36"/>
        <v>728.40558626389952</v>
      </c>
      <c r="Y65" s="60">
        <f t="shared" si="36"/>
        <v>742.97369798917748</v>
      </c>
      <c r="Z65" s="60">
        <f t="shared" si="36"/>
        <v>757.83317194896108</v>
      </c>
      <c r="AA65" s="60">
        <f t="shared" si="36"/>
        <v>772.98983538794027</v>
      </c>
      <c r="AB65" s="60">
        <f t="shared" si="36"/>
        <v>788.44963209569914</v>
      </c>
      <c r="AC65" s="60">
        <f t="shared" si="36"/>
        <v>804.21862473761314</v>
      </c>
      <c r="AD65" s="60">
        <f t="shared" si="36"/>
        <v>0</v>
      </c>
      <c r="AE65" s="60">
        <f t="shared" si="36"/>
        <v>0</v>
      </c>
      <c r="AF65" s="60">
        <f t="shared" si="36"/>
        <v>0</v>
      </c>
      <c r="AG65" s="60">
        <f t="shared" si="36"/>
        <v>0</v>
      </c>
      <c r="AH65" s="60">
        <f t="shared" si="36"/>
        <v>0</v>
      </c>
    </row>
    <row r="66" spans="1:34" x14ac:dyDescent="0.45">
      <c r="D66" s="61" t="str">
        <f>"Interest @ "&amp;TEXT(B13,"0%")</f>
        <v>Interest @ 1%</v>
      </c>
      <c r="E66" s="60">
        <v>0</v>
      </c>
      <c r="F66" s="62">
        <f>IF(F3&gt;$B$6,0,E67*$B$13)</f>
        <v>5</v>
      </c>
      <c r="G66" s="62">
        <f t="shared" ref="G66:AH66" si="37">IF(G3&gt;$B$6,0,F67*$B$13)</f>
        <v>10.15</v>
      </c>
      <c r="H66" s="62">
        <f t="shared" si="37"/>
        <v>15.453500000000002</v>
      </c>
      <c r="I66" s="62">
        <f t="shared" si="37"/>
        <v>20.914075000000004</v>
      </c>
      <c r="J66" s="62">
        <f t="shared" si="37"/>
        <v>26.535376550000006</v>
      </c>
      <c r="K66" s="62">
        <f t="shared" si="37"/>
        <v>32.321134331500005</v>
      </c>
      <c r="L66" s="62">
        <f t="shared" si="37"/>
        <v>38.275157771135007</v>
      </c>
      <c r="M66" s="62">
        <f t="shared" si="37"/>
        <v>44.401337687092756</v>
      </c>
      <c r="N66" s="62">
        <f t="shared" si="37"/>
        <v>50.703647968975012</v>
      </c>
      <c r="O66" s="62">
        <f t="shared" si="37"/>
        <v>57.186147291776315</v>
      </c>
      <c r="P66" s="62">
        <f t="shared" si="37"/>
        <v>8.8529808646678614</v>
      </c>
      <c r="Q66" s="62">
        <f t="shared" si="37"/>
        <v>15.158382215287805</v>
      </c>
      <c r="R66" s="62">
        <f t="shared" si="37"/>
        <v>21.651175010253411</v>
      </c>
      <c r="S66" s="62">
        <f t="shared" si="37"/>
        <v>28.335719912624928</v>
      </c>
      <c r="T66" s="62">
        <f t="shared" si="37"/>
        <v>35.216470927065537</v>
      </c>
      <c r="U66" s="62">
        <f t="shared" si="37"/>
        <v>42.297977327956843</v>
      </c>
      <c r="V66" s="62">
        <f t="shared" si="37"/>
        <v>49.584885626689477</v>
      </c>
      <c r="W66" s="62">
        <f t="shared" si="37"/>
        <v>57.081941578918496</v>
      </c>
      <c r="X66" s="62">
        <f t="shared" si="37"/>
        <v>64.793992232589048</v>
      </c>
      <c r="Y66" s="62">
        <f t="shared" si="37"/>
        <v>72.725988017553931</v>
      </c>
      <c r="Z66" s="62">
        <f t="shared" si="37"/>
        <v>0.88298487762124755</v>
      </c>
      <c r="AA66" s="62">
        <f t="shared" si="37"/>
        <v>8.470146445887071</v>
      </c>
      <c r="AB66" s="62">
        <f t="shared" si="37"/>
        <v>16.284746264225348</v>
      </c>
      <c r="AC66" s="62">
        <f t="shared" si="37"/>
        <v>24.33209004782459</v>
      </c>
      <c r="AD66" s="62">
        <f t="shared" si="37"/>
        <v>0</v>
      </c>
      <c r="AE66" s="62">
        <f t="shared" si="37"/>
        <v>0</v>
      </c>
      <c r="AF66" s="62">
        <f t="shared" si="37"/>
        <v>0</v>
      </c>
      <c r="AG66" s="62">
        <f t="shared" si="37"/>
        <v>0</v>
      </c>
      <c r="AH66" s="62">
        <f t="shared" si="37"/>
        <v>0</v>
      </c>
    </row>
    <row r="67" spans="1:34" ht="14.65" thickBot="1" x14ac:dyDescent="0.5">
      <c r="D67" s="64" t="s">
        <v>34</v>
      </c>
      <c r="E67" s="60">
        <f>E65+E66</f>
        <v>500</v>
      </c>
      <c r="F67" s="62">
        <f>E67+F65+F66-E68</f>
        <v>1015</v>
      </c>
      <c r="G67" s="62">
        <f t="shared" ref="G67:AH67" si="38">F67+G65+G66-F68</f>
        <v>1545.3500000000001</v>
      </c>
      <c r="H67" s="62">
        <f t="shared" si="38"/>
        <v>2091.4075000000003</v>
      </c>
      <c r="I67" s="62">
        <f t="shared" si="38"/>
        <v>2653.5376550000005</v>
      </c>
      <c r="J67" s="62">
        <f t="shared" si="38"/>
        <v>3232.1134331500002</v>
      </c>
      <c r="K67" s="62">
        <f t="shared" si="38"/>
        <v>3827.5157771135005</v>
      </c>
      <c r="L67" s="62">
        <f t="shared" si="38"/>
        <v>4440.1337687092755</v>
      </c>
      <c r="M67" s="62">
        <f t="shared" si="38"/>
        <v>5070.364796897501</v>
      </c>
      <c r="N67" s="62">
        <f t="shared" si="38"/>
        <v>5718.6147291776315</v>
      </c>
      <c r="O67" s="62">
        <f t="shared" si="38"/>
        <v>885.29808646678612</v>
      </c>
      <c r="P67" s="62">
        <f t="shared" si="38"/>
        <v>1515.8382215287804</v>
      </c>
      <c r="Q67" s="62">
        <f t="shared" si="38"/>
        <v>2165.117501025341</v>
      </c>
      <c r="R67" s="62">
        <f t="shared" si="38"/>
        <v>2833.5719912624927</v>
      </c>
      <c r="S67" s="62">
        <f t="shared" si="38"/>
        <v>3521.6470927065538</v>
      </c>
      <c r="T67" s="62">
        <f t="shared" si="38"/>
        <v>4229.7977327956842</v>
      </c>
      <c r="U67" s="62">
        <f t="shared" si="38"/>
        <v>4958.4885626689475</v>
      </c>
      <c r="V67" s="62">
        <f t="shared" si="38"/>
        <v>5708.1941578918495</v>
      </c>
      <c r="W67" s="62">
        <f t="shared" si="38"/>
        <v>6479.3992232589044</v>
      </c>
      <c r="X67" s="62">
        <f t="shared" si="38"/>
        <v>7272.5988017553927</v>
      </c>
      <c r="Y67" s="62">
        <f t="shared" si="38"/>
        <v>88.298487762124751</v>
      </c>
      <c r="Z67" s="62">
        <f t="shared" si="38"/>
        <v>847.01464458870703</v>
      </c>
      <c r="AA67" s="62">
        <f t="shared" si="38"/>
        <v>1628.4746264225346</v>
      </c>
      <c r="AB67" s="62">
        <f t="shared" si="38"/>
        <v>2433.209004782459</v>
      </c>
      <c r="AC67" s="62">
        <f t="shared" si="38"/>
        <v>3261.7597195678968</v>
      </c>
      <c r="AD67" s="62">
        <f t="shared" si="38"/>
        <v>3261.7597195678968</v>
      </c>
      <c r="AE67" s="62">
        <f t="shared" si="38"/>
        <v>3261.7597195678968</v>
      </c>
      <c r="AF67" s="62">
        <f t="shared" si="38"/>
        <v>3261.7597195678968</v>
      </c>
      <c r="AG67" s="62">
        <f t="shared" si="38"/>
        <v>3261.7597195678968</v>
      </c>
      <c r="AH67" s="62">
        <f t="shared" si="38"/>
        <v>3261.7597195678968</v>
      </c>
    </row>
    <row r="68" spans="1:34" ht="14.65" thickBot="1" x14ac:dyDescent="0.5">
      <c r="D68" s="64" t="s">
        <v>42</v>
      </c>
      <c r="E68" s="60"/>
      <c r="F68" s="62"/>
      <c r="G68" s="62"/>
      <c r="H68" s="62"/>
      <c r="I68" s="62"/>
      <c r="J68" s="62"/>
      <c r="K68" s="62"/>
      <c r="L68" s="62"/>
      <c r="M68" s="62"/>
      <c r="N68" s="96">
        <v>5500</v>
      </c>
      <c r="O68" s="62"/>
      <c r="P68" s="62"/>
      <c r="Q68" s="62"/>
      <c r="R68" s="62"/>
      <c r="S68" s="62"/>
      <c r="T68" s="62"/>
      <c r="U68" s="62"/>
      <c r="V68" s="62"/>
      <c r="W68" s="62"/>
      <c r="X68" s="96">
        <v>8000</v>
      </c>
      <c r="Y68" s="62"/>
      <c r="Z68" s="62"/>
      <c r="AA68" s="62"/>
      <c r="AB68" s="62"/>
      <c r="AC68" s="62"/>
      <c r="AD68" s="62"/>
      <c r="AE68" s="62"/>
      <c r="AF68" s="62"/>
      <c r="AG68" s="62"/>
      <c r="AH68" s="96">
        <v>8000</v>
      </c>
    </row>
    <row r="70" spans="1:34" x14ac:dyDescent="0.45">
      <c r="A70" s="90" t="s">
        <v>68</v>
      </c>
      <c r="B70" s="72"/>
      <c r="D70" s="70" t="s">
        <v>67</v>
      </c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</row>
    <row r="71" spans="1:34" x14ac:dyDescent="0.45">
      <c r="A71" s="72" t="s">
        <v>66</v>
      </c>
      <c r="B71" s="74">
        <f>IRR(D71:AH71)</f>
        <v>2.6725064794944631E-2</v>
      </c>
      <c r="D71" s="72">
        <f>-B20</f>
        <v>-25000</v>
      </c>
      <c r="E71" s="73">
        <f>E50+IF(E3=$B$6,$B$20,0)</f>
        <v>407</v>
      </c>
      <c r="F71" s="73">
        <f t="shared" ref="F71:AH71" si="39">F50+IF(F3=$B$6,$B$20,0)</f>
        <v>464.3143</v>
      </c>
      <c r="G71" s="73">
        <f t="shared" si="39"/>
        <v>521.75398306999978</v>
      </c>
      <c r="H71" s="73">
        <f t="shared" si="39"/>
        <v>579.31826541774262</v>
      </c>
      <c r="I71" s="73">
        <f t="shared" si="39"/>
        <v>637.00629853246846</v>
      </c>
      <c r="J71" s="73">
        <f t="shared" si="39"/>
        <v>444.81716715980156</v>
      </c>
      <c r="K71" s="73">
        <f t="shared" si="39"/>
        <v>475.24988722526632</v>
      </c>
      <c r="L71" s="73">
        <f t="shared" si="39"/>
        <v>505.92840370520207</v>
      </c>
      <c r="M71" s="73">
        <f t="shared" si="39"/>
        <v>536.8528384438946</v>
      </c>
      <c r="N71" s="73">
        <f t="shared" si="39"/>
        <v>568.02325041566337</v>
      </c>
      <c r="O71" s="73">
        <f t="shared" si="39"/>
        <v>599.43963355564028</v>
      </c>
      <c r="P71" s="73">
        <f t="shared" si="39"/>
        <v>631.10191453419156</v>
      </c>
      <c r="Q71" s="73">
        <f t="shared" si="39"/>
        <v>663.0099504736645</v>
      </c>
      <c r="R71" s="73">
        <f t="shared" si="39"/>
        <v>695.16352660611574</v>
      </c>
      <c r="S71" s="73">
        <f t="shared" si="39"/>
        <v>727.56235387066727</v>
      </c>
      <c r="T71" s="73">
        <f t="shared" si="39"/>
        <v>760.20606644904137</v>
      </c>
      <c r="U71" s="73">
        <f t="shared" si="39"/>
        <v>793.09421923789887</v>
      </c>
      <c r="V71" s="73">
        <f t="shared" si="39"/>
        <v>826.22628525646769</v>
      </c>
      <c r="W71" s="73">
        <f t="shared" si="39"/>
        <v>859.60165298798483</v>
      </c>
      <c r="X71" s="73">
        <f t="shared" si="39"/>
        <v>893.21962365342233</v>
      </c>
      <c r="Y71" s="73">
        <f t="shared" si="39"/>
        <v>927.07940841591835</v>
      </c>
      <c r="Z71" s="73">
        <f t="shared" si="39"/>
        <v>961.18012551433776</v>
      </c>
      <c r="AA71" s="73">
        <f t="shared" si="39"/>
        <v>995.52079732430047</v>
      </c>
      <c r="AB71" s="73">
        <f t="shared" si="39"/>
        <v>1030.1003473450278</v>
      </c>
      <c r="AC71" s="73">
        <f t="shared" si="39"/>
        <v>26064.9175971103</v>
      </c>
      <c r="AD71" s="73">
        <f t="shared" si="39"/>
        <v>0</v>
      </c>
      <c r="AE71" s="73">
        <f t="shared" si="39"/>
        <v>0</v>
      </c>
      <c r="AF71" s="73">
        <f t="shared" si="39"/>
        <v>0</v>
      </c>
      <c r="AG71" s="73">
        <f t="shared" si="39"/>
        <v>0</v>
      </c>
      <c r="AH71" s="73">
        <f t="shared" si="39"/>
        <v>0</v>
      </c>
    </row>
    <row r="72" spans="1:34" x14ac:dyDescent="0.45">
      <c r="A72" s="75" t="s">
        <v>49</v>
      </c>
      <c r="B72" s="74">
        <f>IRR(D72:AH72)</f>
        <v>2.5448937028590413E-2</v>
      </c>
      <c r="D72" s="72">
        <f>-B20</f>
        <v>-25000</v>
      </c>
      <c r="E72" s="73">
        <f>E52+IF(E3=$B$6,$B$20,0)</f>
        <v>386.65</v>
      </c>
      <c r="F72" s="73">
        <f t="shared" ref="F72:AH72" si="40">F52+IF(F3=$B$6,$B$20,0)</f>
        <v>441.09858499999996</v>
      </c>
      <c r="G72" s="73">
        <f t="shared" si="40"/>
        <v>495.66628391649976</v>
      </c>
      <c r="H72" s="73">
        <f t="shared" si="40"/>
        <v>550.35235214685542</v>
      </c>
      <c r="I72" s="73">
        <f t="shared" si="40"/>
        <v>605.15598360584499</v>
      </c>
      <c r="J72" s="73">
        <f t="shared" si="40"/>
        <v>422.57630880181148</v>
      </c>
      <c r="K72" s="73">
        <f t="shared" si="40"/>
        <v>451.48739286400297</v>
      </c>
      <c r="L72" s="73">
        <f t="shared" si="40"/>
        <v>480.63198351994197</v>
      </c>
      <c r="M72" s="73">
        <f t="shared" si="40"/>
        <v>510.01019652169987</v>
      </c>
      <c r="N72" s="73">
        <f t="shared" si="40"/>
        <v>539.62208789488022</v>
      </c>
      <c r="O72" s="73">
        <f t="shared" si="40"/>
        <v>569.4676518778582</v>
      </c>
      <c r="P72" s="73">
        <f t="shared" si="40"/>
        <v>599.54681880748194</v>
      </c>
      <c r="Q72" s="73">
        <f t="shared" si="40"/>
        <v>629.85945294998123</v>
      </c>
      <c r="R72" s="73">
        <f t="shared" si="40"/>
        <v>660.40535027580995</v>
      </c>
      <c r="S72" s="73">
        <f t="shared" si="40"/>
        <v>691.18423617713393</v>
      </c>
      <c r="T72" s="73">
        <f t="shared" si="40"/>
        <v>722.19576312658933</v>
      </c>
      <c r="U72" s="73">
        <f t="shared" si="40"/>
        <v>753.43950827600383</v>
      </c>
      <c r="V72" s="73">
        <f t="shared" si="40"/>
        <v>784.91497099364426</v>
      </c>
      <c r="W72" s="73">
        <f t="shared" si="40"/>
        <v>816.62157033858557</v>
      </c>
      <c r="X72" s="73">
        <f t="shared" si="40"/>
        <v>848.55864247075112</v>
      </c>
      <c r="Y72" s="73">
        <f t="shared" si="40"/>
        <v>880.72543799512243</v>
      </c>
      <c r="Z72" s="73">
        <f t="shared" si="40"/>
        <v>913.12111923862085</v>
      </c>
      <c r="AA72" s="73">
        <f t="shared" si="40"/>
        <v>945.74475745808536</v>
      </c>
      <c r="AB72" s="73">
        <f t="shared" si="40"/>
        <v>978.59532997777637</v>
      </c>
      <c r="AC72" s="73">
        <f t="shared" si="40"/>
        <v>26011.671717254783</v>
      </c>
      <c r="AD72" s="73">
        <f t="shared" si="40"/>
        <v>0</v>
      </c>
      <c r="AE72" s="73">
        <f t="shared" si="40"/>
        <v>0</v>
      </c>
      <c r="AF72" s="73">
        <f t="shared" si="40"/>
        <v>0</v>
      </c>
      <c r="AG72" s="73">
        <f t="shared" si="40"/>
        <v>0</v>
      </c>
      <c r="AH72" s="73">
        <f t="shared" si="40"/>
        <v>0</v>
      </c>
    </row>
    <row r="73" spans="1:34" x14ac:dyDescent="0.45"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</row>
    <row r="78" spans="1:34" x14ac:dyDescent="0.45"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</row>
    <row r="79" spans="1:34" x14ac:dyDescent="0.45">
      <c r="D79" s="98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R79" s="98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</row>
    <row r="80" spans="1:34" x14ac:dyDescent="0.45">
      <c r="C80" s="114"/>
      <c r="D80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Q80" s="114"/>
      <c r="R80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</row>
    <row r="81" spans="3:29" x14ac:dyDescent="0.45">
      <c r="C81" s="114"/>
      <c r="D81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Q81" s="114"/>
      <c r="R81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</row>
    <row r="82" spans="3:29" x14ac:dyDescent="0.45">
      <c r="C82" s="114"/>
      <c r="D82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Q82" s="114"/>
      <c r="R82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</row>
    <row r="83" spans="3:29" x14ac:dyDescent="0.45">
      <c r="C83" s="114"/>
      <c r="D83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Q83" s="114"/>
      <c r="R83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</row>
    <row r="84" spans="3:29" x14ac:dyDescent="0.45">
      <c r="C84" s="114"/>
      <c r="D84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Q84" s="114"/>
      <c r="R84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3:29" x14ac:dyDescent="0.45">
      <c r="C85" s="114"/>
      <c r="D85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Q85" s="114"/>
      <c r="R85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3:29" x14ac:dyDescent="0.45">
      <c r="C86" s="114"/>
      <c r="D86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Q86" s="114"/>
      <c r="R86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3:29" x14ac:dyDescent="0.45">
      <c r="C87" s="114"/>
      <c r="D8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Q87" s="114"/>
      <c r="R87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3:29" x14ac:dyDescent="0.45">
      <c r="C88" s="114"/>
      <c r="D8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Q88" s="114"/>
      <c r="R8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3:29" x14ac:dyDescent="0.45">
      <c r="C89" s="114"/>
      <c r="D89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Q89" s="114"/>
      <c r="R89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3:29" x14ac:dyDescent="0.45">
      <c r="C90" s="114"/>
      <c r="D90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Q90" s="114"/>
      <c r="R90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3" spans="3:29" x14ac:dyDescent="0.45"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</row>
    <row r="94" spans="3:29" x14ac:dyDescent="0.45">
      <c r="D94" s="98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R94" s="98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</row>
    <row r="95" spans="3:29" x14ac:dyDescent="0.45">
      <c r="C95" s="114"/>
      <c r="D95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Q95" s="114"/>
      <c r="R95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3:29" x14ac:dyDescent="0.45">
      <c r="C96" s="114"/>
      <c r="D96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Q96" s="114"/>
      <c r="R96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3:29" x14ac:dyDescent="0.45">
      <c r="C97" s="114"/>
      <c r="D97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Q97" s="114"/>
      <c r="R97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</row>
    <row r="98" spans="3:29" x14ac:dyDescent="0.45">
      <c r="C98" s="114"/>
      <c r="D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Q98" s="114"/>
      <c r="R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</row>
    <row r="99" spans="3:29" x14ac:dyDescent="0.45">
      <c r="C99" s="114"/>
      <c r="D99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Q99" s="114"/>
      <c r="R99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3:29" x14ac:dyDescent="0.45">
      <c r="C100" s="114"/>
      <c r="D100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Q100" s="114"/>
      <c r="R100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3:29" x14ac:dyDescent="0.45">
      <c r="C101" s="114"/>
      <c r="D101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Q101" s="114"/>
      <c r="R101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3:29" x14ac:dyDescent="0.45">
      <c r="C102" s="114"/>
      <c r="D102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Q102" s="114"/>
      <c r="R102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3:29" x14ac:dyDescent="0.45">
      <c r="C103" s="114"/>
      <c r="D103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Q103" s="114"/>
      <c r="R103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3:29" x14ac:dyDescent="0.45">
      <c r="C104" s="114"/>
      <c r="D104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Q104" s="114"/>
      <c r="R104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3:29" x14ac:dyDescent="0.45">
      <c r="C105" s="114"/>
      <c r="D105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Q105" s="114"/>
      <c r="R105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8" spans="3:29" x14ac:dyDescent="0.45"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</row>
    <row r="109" spans="3:29" x14ac:dyDescent="0.45">
      <c r="D109" s="98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R109" s="98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</row>
    <row r="110" spans="3:29" ht="14.25" customHeight="1" x14ac:dyDescent="0.45">
      <c r="C110" s="114"/>
      <c r="D110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Q110" s="114"/>
      <c r="R110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</row>
    <row r="111" spans="3:29" x14ac:dyDescent="0.45">
      <c r="C111" s="114"/>
      <c r="D111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Q111" s="114"/>
      <c r="R111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</row>
    <row r="112" spans="3:29" x14ac:dyDescent="0.45">
      <c r="C112" s="114"/>
      <c r="D112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Q112" s="114"/>
      <c r="R112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</row>
    <row r="113" spans="3:29" x14ac:dyDescent="0.45">
      <c r="C113" s="114"/>
      <c r="D113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Q113" s="114"/>
      <c r="R113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</row>
    <row r="114" spans="3:29" x14ac:dyDescent="0.45">
      <c r="C114" s="114"/>
      <c r="D114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Q114" s="114"/>
      <c r="R114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</row>
    <row r="115" spans="3:29" x14ac:dyDescent="0.45">
      <c r="C115" s="114"/>
      <c r="D115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Q115" s="114"/>
      <c r="R115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</row>
    <row r="116" spans="3:29" x14ac:dyDescent="0.45">
      <c r="C116" s="114"/>
      <c r="D116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Q116" s="114"/>
      <c r="R116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</row>
    <row r="117" spans="3:29" x14ac:dyDescent="0.45">
      <c r="C117" s="114"/>
      <c r="D117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Q117" s="114"/>
      <c r="R117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</row>
    <row r="118" spans="3:29" x14ac:dyDescent="0.45">
      <c r="C118" s="114"/>
      <c r="D11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Q118" s="114"/>
      <c r="R11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</row>
    <row r="119" spans="3:29" x14ac:dyDescent="0.45">
      <c r="C119" s="114"/>
      <c r="D119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Q119" s="114"/>
      <c r="R119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</row>
    <row r="120" spans="3:29" x14ac:dyDescent="0.45">
      <c r="C120" s="114"/>
      <c r="D120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Q120" s="114"/>
      <c r="R120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</row>
  </sheetData>
  <conditionalFormatting sqref="E80:O9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80:AC9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5:O10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95:AC10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0:O12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10:AC1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 Model</vt:lpstr>
      <vt:lpstr>Financial Model (cap repay)</vt:lpstr>
      <vt:lpstr>Financial Model (debt mix)</vt:lpstr>
    </vt:vector>
  </TitlesOfParts>
  <Company>Brixton Energy | CoEnergy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Post-FIT Solar Rooftop Model</dc:title>
  <dc:creator>Andre Pinho</dc:creator>
  <cp:lastModifiedBy>Andre Pinho</cp:lastModifiedBy>
  <dcterms:created xsi:type="dcterms:W3CDTF">2018-10-17T21:58:41Z</dcterms:created>
  <dcterms:modified xsi:type="dcterms:W3CDTF">2019-08-30T11:23:43Z</dcterms:modified>
</cp:coreProperties>
</file>